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RMO DE REFERENCIA 2024\SERVIÇO DE LIMPEZA PREDIAL\"/>
    </mc:Choice>
  </mc:AlternateContent>
  <bookViews>
    <workbookView xWindow="28695" yWindow="75" windowWidth="16305" windowHeight="15975" tabRatio="642"/>
  </bookViews>
  <sheets>
    <sheet name="RESUMO" sheetId="98" r:id="rId1"/>
    <sheet name="Servente de Limpeza" sheetId="57" r:id="rId2"/>
    <sheet name="Encarregado Geral " sheetId="78" r:id="rId3"/>
    <sheet name="Jardineiro" sheetId="79" r:id="rId4"/>
    <sheet name="Aux. de Serviços Diversos" sheetId="80" r:id="rId5"/>
    <sheet name="Serviço de Copeiragem" sheetId="81" r:id="rId6"/>
    <sheet name="Garçom" sheetId="89" r:id="rId7"/>
    <sheet name="Recepcionista Nível I" sheetId="82" r:id="rId8"/>
    <sheet name="Auxiliar Administrativo" sheetId="63" r:id="rId9"/>
    <sheet name="Equipe tecnica PDSA II_Adm" sheetId="21" state="hidden" r:id="rId10"/>
    <sheet name="Plan3" sheetId="30" state="hidden" r:id="rId11"/>
    <sheet name="Material Limpeza" sheetId="74" r:id="rId12"/>
    <sheet name="Utensílios e Equip. limp" sheetId="75" r:id="rId13"/>
  </sheets>
  <externalReferences>
    <externalReference r:id="rId14"/>
  </externalReferences>
  <definedNames>
    <definedName name="_Hlk159506321" localSheetId="0">RESUMO!$A$6</definedName>
    <definedName name="_Hlk162258488" localSheetId="0">RESUMO!$A$5</definedName>
    <definedName name="_xlnm.Print_Area" localSheetId="4">'Aux. de Serviços Diversos'!$A$1:$K$146</definedName>
    <definedName name="_xlnm.Print_Area" localSheetId="8">'Auxiliar Administrativo'!$A$1:$K$141</definedName>
    <definedName name="_xlnm.Print_Area" localSheetId="2">'Encarregado Geral '!$A$1:$K$146</definedName>
    <definedName name="_xlnm.Print_Area" localSheetId="6">Garçom!$A$1:$K$146</definedName>
    <definedName name="_xlnm.Print_Area" localSheetId="3">Jardineiro!$A$1:$K$146</definedName>
    <definedName name="_xlnm.Print_Area" localSheetId="7">'Recepcionista Nível I'!$A$1:$K$146</definedName>
    <definedName name="_xlnm.Print_Area" localSheetId="1">'Servente de Limpeza'!$A$1:$K$146</definedName>
    <definedName name="_xlnm.Print_Area" localSheetId="5">'Serviço de Copeiragem'!$A$1:$K$146</definedName>
    <definedName name="_xlnm.Print_Titles" localSheetId="4">'Aux. de Serviços Diversos'!$1:$6</definedName>
    <definedName name="_xlnm.Print_Titles" localSheetId="8">'Auxiliar Administrativo'!$1:$6</definedName>
    <definedName name="_xlnm.Print_Titles" localSheetId="2">'Encarregado Geral '!$1:$6</definedName>
    <definedName name="_xlnm.Print_Titles" localSheetId="6">Garçom!$1:$6</definedName>
    <definedName name="_xlnm.Print_Titles" localSheetId="3">Jardineiro!$1:$6</definedName>
    <definedName name="_xlnm.Print_Titles" localSheetId="7">'Recepcionista Nível I'!$1:$6</definedName>
    <definedName name="_xlnm.Print_Titles" localSheetId="1">'Servente de Limpeza'!$1:$6</definedName>
    <definedName name="_xlnm.Print_Titles" localSheetId="5">'Serviço de Copeiragem'!$1:$6</definedName>
  </definedNames>
  <calcPr calcId="152511"/>
</workbook>
</file>

<file path=xl/calcChain.xml><?xml version="1.0" encoding="utf-8"?>
<calcChain xmlns="http://schemas.openxmlformats.org/spreadsheetml/2006/main">
  <c r="H8" i="98" l="1"/>
  <c r="E23" i="75" l="1"/>
  <c r="F23" i="75" s="1"/>
  <c r="E22" i="75"/>
  <c r="F22" i="75" s="1"/>
  <c r="E21" i="75"/>
  <c r="F21" i="75" s="1"/>
  <c r="E20" i="75"/>
  <c r="F20" i="75" s="1"/>
  <c r="E19" i="75"/>
  <c r="F19" i="75" s="1"/>
  <c r="E18" i="75"/>
  <c r="F18" i="75" s="1"/>
  <c r="E17" i="75"/>
  <c r="F17" i="75" s="1"/>
  <c r="E16" i="75"/>
  <c r="F16" i="75" s="1"/>
  <c r="E15" i="75"/>
  <c r="F15" i="75" s="1"/>
  <c r="E14" i="75"/>
  <c r="F14" i="75" s="1"/>
  <c r="E13" i="75"/>
  <c r="F13" i="75" s="1"/>
  <c r="E12" i="75"/>
  <c r="F12" i="75" s="1"/>
  <c r="E11" i="75"/>
  <c r="F11" i="75" s="1"/>
  <c r="E10" i="75"/>
  <c r="F10" i="75" s="1"/>
  <c r="E9" i="75"/>
  <c r="F9" i="75" s="1"/>
  <c r="E46" i="74"/>
  <c r="E45" i="74"/>
  <c r="E44" i="74"/>
  <c r="E43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J38" i="63" l="1"/>
  <c r="J38" i="82"/>
  <c r="J38" i="89"/>
  <c r="J38" i="81"/>
  <c r="J38" i="80"/>
  <c r="J38" i="79"/>
  <c r="J38" i="78"/>
  <c r="J38" i="57"/>
  <c r="D33" i="75"/>
  <c r="F49" i="74"/>
  <c r="H17" i="98"/>
  <c r="H16" i="98"/>
  <c r="H14" i="98"/>
  <c r="H13" i="98"/>
  <c r="H11" i="98"/>
  <c r="H10" i="98"/>
  <c r="H9" i="98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9" i="74"/>
  <c r="F47" i="74" l="1"/>
  <c r="E24" i="75"/>
  <c r="D34" i="75" s="1"/>
  <c r="F50" i="74" l="1"/>
  <c r="F52" i="74" s="1"/>
  <c r="D115" i="89"/>
  <c r="J113" i="89"/>
  <c r="J103" i="89"/>
  <c r="J89" i="89"/>
  <c r="J81" i="89"/>
  <c r="J79" i="89"/>
  <c r="J78" i="89"/>
  <c r="J77" i="89"/>
  <c r="J76" i="89"/>
  <c r="J70" i="89"/>
  <c r="J68" i="89"/>
  <c r="J67" i="89"/>
  <c r="J65" i="89"/>
  <c r="J66" i="89" s="1"/>
  <c r="K53" i="89"/>
  <c r="K48" i="89"/>
  <c r="J47" i="89"/>
  <c r="J44" i="89"/>
  <c r="J69" i="89" s="1"/>
  <c r="J28" i="89"/>
  <c r="K28" i="89" s="1"/>
  <c r="J27" i="89"/>
  <c r="K23" i="89"/>
  <c r="D115" i="82"/>
  <c r="J113" i="82"/>
  <c r="J103" i="82"/>
  <c r="J89" i="82"/>
  <c r="J81" i="82"/>
  <c r="J79" i="82"/>
  <c r="J78" i="82"/>
  <c r="J77" i="82"/>
  <c r="J76" i="82"/>
  <c r="J70" i="82"/>
  <c r="J68" i="82"/>
  <c r="J67" i="82"/>
  <c r="J65" i="82"/>
  <c r="J66" i="82" s="1"/>
  <c r="K53" i="82"/>
  <c r="K48" i="82"/>
  <c r="J47" i="82"/>
  <c r="J44" i="82"/>
  <c r="J28" i="82"/>
  <c r="K28" i="82" s="1"/>
  <c r="J27" i="82"/>
  <c r="J29" i="82" s="1"/>
  <c r="K23" i="82"/>
  <c r="D115" i="81"/>
  <c r="J113" i="81"/>
  <c r="J103" i="81"/>
  <c r="J89" i="81"/>
  <c r="J81" i="81"/>
  <c r="J79" i="81"/>
  <c r="J78" i="81"/>
  <c r="J77" i="81"/>
  <c r="J76" i="81"/>
  <c r="J70" i="81"/>
  <c r="J68" i="81"/>
  <c r="J67" i="81"/>
  <c r="J65" i="81"/>
  <c r="J66" i="81" s="1"/>
  <c r="K53" i="81"/>
  <c r="K48" i="81"/>
  <c r="J47" i="81"/>
  <c r="J44" i="81"/>
  <c r="J69" i="81" s="1"/>
  <c r="J28" i="81"/>
  <c r="K28" i="81" s="1"/>
  <c r="J27" i="81"/>
  <c r="K23" i="81"/>
  <c r="D115" i="80"/>
  <c r="J113" i="80"/>
  <c r="J103" i="80"/>
  <c r="J89" i="80"/>
  <c r="J81" i="80"/>
  <c r="J79" i="80"/>
  <c r="J78" i="80"/>
  <c r="J77" i="80"/>
  <c r="J76" i="80"/>
  <c r="J70" i="80"/>
  <c r="J68" i="80"/>
  <c r="J67" i="80"/>
  <c r="J65" i="80"/>
  <c r="J66" i="80" s="1"/>
  <c r="K53" i="80"/>
  <c r="K48" i="80"/>
  <c r="J47" i="80"/>
  <c r="J44" i="80"/>
  <c r="J80" i="80" s="1"/>
  <c r="J28" i="80"/>
  <c r="K28" i="80" s="1"/>
  <c r="J27" i="80"/>
  <c r="K23" i="80"/>
  <c r="D115" i="79"/>
  <c r="J113" i="79"/>
  <c r="J103" i="79"/>
  <c r="J89" i="79"/>
  <c r="J81" i="79"/>
  <c r="J79" i="79"/>
  <c r="J78" i="79"/>
  <c r="J77" i="79"/>
  <c r="J76" i="79"/>
  <c r="J70" i="79"/>
  <c r="J68" i="79"/>
  <c r="J67" i="79"/>
  <c r="J65" i="79"/>
  <c r="J66" i="79" s="1"/>
  <c r="K53" i="79"/>
  <c r="K48" i="79"/>
  <c r="J47" i="79"/>
  <c r="J44" i="79"/>
  <c r="J80" i="79" s="1"/>
  <c r="J28" i="79"/>
  <c r="K28" i="79" s="1"/>
  <c r="J27" i="79"/>
  <c r="J29" i="79" s="1"/>
  <c r="K23" i="79"/>
  <c r="D115" i="78"/>
  <c r="J113" i="78"/>
  <c r="J103" i="78"/>
  <c r="J89" i="78"/>
  <c r="J81" i="78"/>
  <c r="J79" i="78"/>
  <c r="J78" i="78"/>
  <c r="J77" i="78"/>
  <c r="J76" i="78"/>
  <c r="J70" i="78"/>
  <c r="J68" i="78"/>
  <c r="J67" i="78"/>
  <c r="J65" i="78"/>
  <c r="J66" i="78" s="1"/>
  <c r="K53" i="78"/>
  <c r="K48" i="78"/>
  <c r="J47" i="78"/>
  <c r="J44" i="78"/>
  <c r="J80" i="78" s="1"/>
  <c r="J28" i="78"/>
  <c r="K28" i="78" s="1"/>
  <c r="J27" i="78"/>
  <c r="K23" i="78"/>
  <c r="K82" i="89" l="1"/>
  <c r="K82" i="82"/>
  <c r="K71" i="82"/>
  <c r="K71" i="81"/>
  <c r="K82" i="81"/>
  <c r="K82" i="80"/>
  <c r="K71" i="80"/>
  <c r="K82" i="79"/>
  <c r="K71" i="79"/>
  <c r="K82" i="78"/>
  <c r="K71" i="78"/>
  <c r="K100" i="78"/>
  <c r="K100" i="57"/>
  <c r="J29" i="80"/>
  <c r="J29" i="89"/>
  <c r="J29" i="78"/>
  <c r="J29" i="81"/>
  <c r="K122" i="78"/>
  <c r="K50" i="78"/>
  <c r="K27" i="78"/>
  <c r="K29" i="78" s="1"/>
  <c r="K58" i="78" s="1"/>
  <c r="K47" i="78"/>
  <c r="K54" i="78" s="1"/>
  <c r="K60" i="78" s="1"/>
  <c r="J69" i="78"/>
  <c r="K122" i="79"/>
  <c r="K47" i="79"/>
  <c r="K122" i="80"/>
  <c r="K47" i="80"/>
  <c r="K122" i="81"/>
  <c r="K47" i="81"/>
  <c r="K122" i="82"/>
  <c r="J69" i="82"/>
  <c r="J80" i="82"/>
  <c r="J83" i="82" s="1"/>
  <c r="K47" i="82"/>
  <c r="K122" i="89"/>
  <c r="K70" i="89"/>
  <c r="K68" i="89"/>
  <c r="K47" i="89"/>
  <c r="K66" i="89"/>
  <c r="J80" i="89"/>
  <c r="J83" i="89" s="1"/>
  <c r="K71" i="89"/>
  <c r="K50" i="89"/>
  <c r="K65" i="89"/>
  <c r="K67" i="89"/>
  <c r="K69" i="89"/>
  <c r="J72" i="89"/>
  <c r="K31" i="89"/>
  <c r="K27" i="89"/>
  <c r="K29" i="89" s="1"/>
  <c r="K31" i="82"/>
  <c r="K50" i="82"/>
  <c r="K27" i="82"/>
  <c r="K29" i="82" s="1"/>
  <c r="J80" i="81"/>
  <c r="J83" i="81" s="1"/>
  <c r="K50" i="81"/>
  <c r="J72" i="81"/>
  <c r="K31" i="81"/>
  <c r="K27" i="81"/>
  <c r="K29" i="81" s="1"/>
  <c r="J83" i="80"/>
  <c r="K31" i="80"/>
  <c r="J69" i="80"/>
  <c r="J72" i="80" s="1"/>
  <c r="K50" i="80"/>
  <c r="K27" i="80"/>
  <c r="K29" i="80" s="1"/>
  <c r="J83" i="79"/>
  <c r="J69" i="79"/>
  <c r="J72" i="79" s="1"/>
  <c r="J85" i="79" s="1"/>
  <c r="K50" i="79"/>
  <c r="K31" i="79"/>
  <c r="K27" i="79"/>
  <c r="K29" i="79" s="1"/>
  <c r="J83" i="78"/>
  <c r="K31" i="78"/>
  <c r="K54" i="81" l="1"/>
  <c r="K30" i="78"/>
  <c r="J85" i="81"/>
  <c r="J85" i="80"/>
  <c r="K54" i="82"/>
  <c r="K60" i="82" s="1"/>
  <c r="K54" i="79"/>
  <c r="K60" i="79" s="1"/>
  <c r="K101" i="78"/>
  <c r="K101" i="57"/>
  <c r="J72" i="82"/>
  <c r="J85" i="82" s="1"/>
  <c r="K54" i="80"/>
  <c r="K60" i="80" s="1"/>
  <c r="K54" i="89"/>
  <c r="K72" i="89"/>
  <c r="K124" i="89" s="1"/>
  <c r="J85" i="89"/>
  <c r="J72" i="78"/>
  <c r="J85" i="78" s="1"/>
  <c r="K60" i="89"/>
  <c r="K58" i="89"/>
  <c r="K30" i="89"/>
  <c r="K58" i="82"/>
  <c r="K30" i="82"/>
  <c r="K60" i="81"/>
  <c r="K58" i="81"/>
  <c r="K30" i="81"/>
  <c r="K58" i="80"/>
  <c r="K30" i="80"/>
  <c r="K30" i="79"/>
  <c r="K58" i="79"/>
  <c r="K32" i="78"/>
  <c r="K33" i="78" s="1"/>
  <c r="K88" i="89" l="1"/>
  <c r="K89" i="89" s="1"/>
  <c r="K94" i="89" s="1"/>
  <c r="K103" i="89"/>
  <c r="K126" i="89" s="1"/>
  <c r="K103" i="81"/>
  <c r="K126" i="81" s="1"/>
  <c r="K103" i="78"/>
  <c r="K126" i="78" s="1"/>
  <c r="K103" i="80"/>
  <c r="K126" i="80" s="1"/>
  <c r="K103" i="82"/>
  <c r="K126" i="82" s="1"/>
  <c r="K32" i="89"/>
  <c r="K33" i="89" s="1"/>
  <c r="K32" i="82"/>
  <c r="K33" i="82" s="1"/>
  <c r="K32" i="81"/>
  <c r="K33" i="81" s="1"/>
  <c r="K32" i="80"/>
  <c r="K33" i="80" s="1"/>
  <c r="K103" i="79"/>
  <c r="K126" i="79" s="1"/>
  <c r="K32" i="79"/>
  <c r="K33" i="79" s="1"/>
  <c r="K42" i="78"/>
  <c r="K38" i="78"/>
  <c r="K43" i="78"/>
  <c r="K41" i="78"/>
  <c r="K37" i="78"/>
  <c r="K40" i="78"/>
  <c r="K36" i="78"/>
  <c r="K39" i="78"/>
  <c r="K43" i="89" l="1"/>
  <c r="K39" i="89"/>
  <c r="K41" i="89"/>
  <c r="K36" i="89"/>
  <c r="K42" i="89"/>
  <c r="K38" i="89"/>
  <c r="K37" i="89"/>
  <c r="K40" i="89"/>
  <c r="K43" i="82"/>
  <c r="K39" i="82"/>
  <c r="K42" i="82"/>
  <c r="K38" i="82"/>
  <c r="K41" i="82"/>
  <c r="K37" i="82"/>
  <c r="K40" i="82"/>
  <c r="K36" i="82"/>
  <c r="K43" i="81"/>
  <c r="K39" i="81"/>
  <c r="K41" i="81"/>
  <c r="K36" i="81"/>
  <c r="K42" i="81"/>
  <c r="K38" i="81"/>
  <c r="K37" i="81"/>
  <c r="K40" i="81"/>
  <c r="K43" i="80"/>
  <c r="K39" i="80"/>
  <c r="K37" i="80"/>
  <c r="K36" i="80"/>
  <c r="K42" i="80"/>
  <c r="K38" i="80"/>
  <c r="K41" i="80"/>
  <c r="K40" i="80"/>
  <c r="K43" i="79"/>
  <c r="K39" i="79"/>
  <c r="K41" i="79"/>
  <c r="K42" i="79"/>
  <c r="K38" i="79"/>
  <c r="K37" i="79"/>
  <c r="K40" i="79"/>
  <c r="K36" i="79"/>
  <c r="K44" i="78"/>
  <c r="K44" i="80" l="1"/>
  <c r="K44" i="81"/>
  <c r="K44" i="89"/>
  <c r="K59" i="89" s="1"/>
  <c r="K61" i="89" s="1"/>
  <c r="K44" i="82"/>
  <c r="K59" i="81"/>
  <c r="K61" i="81" s="1"/>
  <c r="K44" i="79"/>
  <c r="K59" i="78"/>
  <c r="K61" i="78" s="1"/>
  <c r="K79" i="89" l="1"/>
  <c r="K81" i="89"/>
  <c r="K78" i="89"/>
  <c r="K76" i="89"/>
  <c r="K77" i="89"/>
  <c r="K80" i="89"/>
  <c r="K66" i="78"/>
  <c r="K65" i="78"/>
  <c r="K68" i="78"/>
  <c r="K70" i="78"/>
  <c r="K67" i="78"/>
  <c r="K69" i="78"/>
  <c r="K69" i="81"/>
  <c r="K65" i="81"/>
  <c r="K68" i="81"/>
  <c r="K67" i="81"/>
  <c r="K66" i="81"/>
  <c r="K70" i="81"/>
  <c r="K59" i="80"/>
  <c r="K61" i="80" s="1"/>
  <c r="K123" i="89"/>
  <c r="K59" i="82"/>
  <c r="K61" i="82" s="1"/>
  <c r="K123" i="81"/>
  <c r="K123" i="80"/>
  <c r="K59" i="79"/>
  <c r="K61" i="79" s="1"/>
  <c r="K123" i="78"/>
  <c r="D115" i="63"/>
  <c r="J113" i="63"/>
  <c r="J103" i="63"/>
  <c r="J89" i="63"/>
  <c r="J81" i="63"/>
  <c r="J79" i="63"/>
  <c r="J78" i="63"/>
  <c r="J77" i="63"/>
  <c r="J76" i="63"/>
  <c r="J70" i="63"/>
  <c r="J68" i="63"/>
  <c r="J67" i="63"/>
  <c r="J65" i="63"/>
  <c r="K53" i="63"/>
  <c r="K48" i="63"/>
  <c r="J47" i="63"/>
  <c r="J44" i="63"/>
  <c r="J80" i="63" s="1"/>
  <c r="J28" i="63"/>
  <c r="K28" i="63" s="1"/>
  <c r="J27" i="63"/>
  <c r="K23" i="63"/>
  <c r="K72" i="81" l="1"/>
  <c r="K66" i="79"/>
  <c r="K65" i="79"/>
  <c r="K70" i="79"/>
  <c r="K69" i="79"/>
  <c r="K68" i="79"/>
  <c r="K67" i="79"/>
  <c r="K72" i="78"/>
  <c r="K82" i="63"/>
  <c r="K71" i="63"/>
  <c r="K69" i="82"/>
  <c r="K68" i="82"/>
  <c r="K70" i="82"/>
  <c r="K66" i="82"/>
  <c r="K67" i="82"/>
  <c r="K65" i="82"/>
  <c r="K72" i="82" s="1"/>
  <c r="K80" i="82" s="1"/>
  <c r="K77" i="82"/>
  <c r="K79" i="82"/>
  <c r="K78" i="82"/>
  <c r="K76" i="82"/>
  <c r="K70" i="80"/>
  <c r="K69" i="80"/>
  <c r="K68" i="80"/>
  <c r="K67" i="80"/>
  <c r="K66" i="80"/>
  <c r="K65" i="80"/>
  <c r="K83" i="89"/>
  <c r="K123" i="82"/>
  <c r="K123" i="79"/>
  <c r="K122" i="63"/>
  <c r="K50" i="63"/>
  <c r="K31" i="63"/>
  <c r="K27" i="63"/>
  <c r="K29" i="63" s="1"/>
  <c r="J29" i="63"/>
  <c r="K47" i="63"/>
  <c r="K54" i="63" s="1"/>
  <c r="J66" i="63"/>
  <c r="J69" i="63"/>
  <c r="J83" i="63"/>
  <c r="K48" i="57"/>
  <c r="K53" i="57"/>
  <c r="J47" i="57"/>
  <c r="J65" i="57"/>
  <c r="J67" i="57"/>
  <c r="J70" i="57"/>
  <c r="K81" i="82" l="1"/>
  <c r="K83" i="82"/>
  <c r="K93" i="82" s="1"/>
  <c r="K72" i="80"/>
  <c r="K81" i="80" s="1"/>
  <c r="K124" i="80"/>
  <c r="K88" i="80"/>
  <c r="K89" i="80" s="1"/>
  <c r="K94" i="80" s="1"/>
  <c r="K78" i="80"/>
  <c r="K124" i="78"/>
  <c r="K88" i="78"/>
  <c r="K89" i="78" s="1"/>
  <c r="K94" i="78" s="1"/>
  <c r="K79" i="78"/>
  <c r="K77" i="78"/>
  <c r="K76" i="78"/>
  <c r="K78" i="78"/>
  <c r="K80" i="78"/>
  <c r="K81" i="78"/>
  <c r="K80" i="80"/>
  <c r="K76" i="80"/>
  <c r="K77" i="80"/>
  <c r="K72" i="79"/>
  <c r="K93" i="89"/>
  <c r="K95" i="89" s="1"/>
  <c r="K85" i="89"/>
  <c r="K79" i="80"/>
  <c r="K88" i="82"/>
  <c r="K89" i="82" s="1"/>
  <c r="K94" i="82" s="1"/>
  <c r="K95" i="82" s="1"/>
  <c r="K124" i="82"/>
  <c r="K85" i="82"/>
  <c r="K124" i="81"/>
  <c r="K88" i="81"/>
  <c r="K89" i="81" s="1"/>
  <c r="K94" i="81" s="1"/>
  <c r="K77" i="81"/>
  <c r="K79" i="81"/>
  <c r="K76" i="81"/>
  <c r="K78" i="81"/>
  <c r="K81" i="81"/>
  <c r="K80" i="81"/>
  <c r="J72" i="63"/>
  <c r="J85" i="63" s="1"/>
  <c r="K60" i="63"/>
  <c r="K58" i="63"/>
  <c r="K30" i="63"/>
  <c r="J28" i="57"/>
  <c r="J76" i="57"/>
  <c r="K83" i="80" l="1"/>
  <c r="K124" i="79"/>
  <c r="K88" i="79"/>
  <c r="K89" i="79" s="1"/>
  <c r="K94" i="79" s="1"/>
  <c r="K79" i="79"/>
  <c r="K80" i="79"/>
  <c r="K78" i="79"/>
  <c r="K77" i="79"/>
  <c r="K76" i="79"/>
  <c r="K81" i="79"/>
  <c r="K83" i="81"/>
  <c r="K83" i="78"/>
  <c r="K125" i="82"/>
  <c r="K127" i="82" s="1"/>
  <c r="K107" i="82"/>
  <c r="F143" i="82" s="1"/>
  <c r="K109" i="82"/>
  <c r="K108" i="82"/>
  <c r="F144" i="82" s="1"/>
  <c r="K125" i="89"/>
  <c r="K127" i="89" s="1"/>
  <c r="K109" i="89"/>
  <c r="K107" i="89"/>
  <c r="K108" i="89" s="1"/>
  <c r="F144" i="89" s="1"/>
  <c r="K103" i="63"/>
  <c r="K126" i="63" s="1"/>
  <c r="K32" i="63"/>
  <c r="K33" i="63" s="1"/>
  <c r="J79" i="57"/>
  <c r="J78" i="57"/>
  <c r="J77" i="57"/>
  <c r="J81" i="57"/>
  <c r="J68" i="57"/>
  <c r="J66" i="57"/>
  <c r="J103" i="57"/>
  <c r="F142" i="82" l="1"/>
  <c r="K93" i="78"/>
  <c r="K95" i="78" s="1"/>
  <c r="K85" i="78"/>
  <c r="K93" i="81"/>
  <c r="K95" i="81" s="1"/>
  <c r="K85" i="81"/>
  <c r="K93" i="80"/>
  <c r="K95" i="80" s="1"/>
  <c r="K85" i="80"/>
  <c r="K83" i="79"/>
  <c r="K116" i="82"/>
  <c r="K117" i="82" s="1"/>
  <c r="K110" i="82" s="1"/>
  <c r="F143" i="89"/>
  <c r="F142" i="89" s="1"/>
  <c r="K116" i="89"/>
  <c r="K117" i="89" s="1"/>
  <c r="K118" i="82"/>
  <c r="K111" i="82"/>
  <c r="K112" i="82"/>
  <c r="K43" i="63"/>
  <c r="K42" i="63"/>
  <c r="K41" i="63"/>
  <c r="K40" i="63"/>
  <c r="K39" i="63"/>
  <c r="K38" i="63"/>
  <c r="K37" i="63"/>
  <c r="K36" i="63"/>
  <c r="J27" i="57"/>
  <c r="K113" i="82" l="1"/>
  <c r="K128" i="82" s="1"/>
  <c r="K129" i="82" s="1"/>
  <c r="I16" i="98" s="1"/>
  <c r="J16" i="98" s="1"/>
  <c r="K125" i="80"/>
  <c r="K127" i="80" s="1"/>
  <c r="K107" i="80"/>
  <c r="K109" i="80"/>
  <c r="K110" i="89"/>
  <c r="K112" i="89"/>
  <c r="K118" i="89"/>
  <c r="K111" i="89"/>
  <c r="K93" i="79"/>
  <c r="K95" i="79" s="1"/>
  <c r="K85" i="79"/>
  <c r="K125" i="81"/>
  <c r="K127" i="81" s="1"/>
  <c r="K107" i="81"/>
  <c r="K109" i="81"/>
  <c r="K125" i="78"/>
  <c r="K127" i="78" s="1"/>
  <c r="K107" i="78"/>
  <c r="K109" i="78"/>
  <c r="C131" i="82"/>
  <c r="C132" i="82" s="1"/>
  <c r="F138" i="82"/>
  <c r="F140" i="82" s="1"/>
  <c r="K44" i="63"/>
  <c r="K59" i="63" s="1"/>
  <c r="K61" i="63" s="1"/>
  <c r="L16" i="98" l="1"/>
  <c r="K16" i="98"/>
  <c r="F143" i="81"/>
  <c r="K69" i="63"/>
  <c r="K70" i="63"/>
  <c r="K68" i="63"/>
  <c r="K66" i="63"/>
  <c r="K65" i="63"/>
  <c r="K67" i="63"/>
  <c r="K108" i="81"/>
  <c r="F144" i="81" s="1"/>
  <c r="K125" i="79"/>
  <c r="K127" i="79" s="1"/>
  <c r="K109" i="79"/>
  <c r="K107" i="79"/>
  <c r="K108" i="78"/>
  <c r="F144" i="78" s="1"/>
  <c r="F143" i="78"/>
  <c r="K113" i="89"/>
  <c r="K128" i="89" s="1"/>
  <c r="K129" i="89" s="1"/>
  <c r="K108" i="80"/>
  <c r="F143" i="80"/>
  <c r="F141" i="82"/>
  <c r="F139" i="82"/>
  <c r="F145" i="82" s="1"/>
  <c r="K123" i="63"/>
  <c r="D115" i="57"/>
  <c r="J113" i="57"/>
  <c r="J89" i="57"/>
  <c r="J44" i="57"/>
  <c r="K28" i="57"/>
  <c r="J29" i="57"/>
  <c r="K23" i="57"/>
  <c r="F142" i="78" l="1"/>
  <c r="K108" i="79"/>
  <c r="F144" i="79" s="1"/>
  <c r="F143" i="79"/>
  <c r="F142" i="79" s="1"/>
  <c r="K116" i="79"/>
  <c r="K117" i="79" s="1"/>
  <c r="I14" i="98"/>
  <c r="J14" i="98" s="1"/>
  <c r="F138" i="89"/>
  <c r="C131" i="89"/>
  <c r="C132" i="89" s="1"/>
  <c r="K72" i="63"/>
  <c r="K116" i="81"/>
  <c r="K117" i="81" s="1"/>
  <c r="F144" i="80"/>
  <c r="K116" i="80"/>
  <c r="K117" i="80" s="1"/>
  <c r="F142" i="81"/>
  <c r="F142" i="80"/>
  <c r="K47" i="57"/>
  <c r="K82" i="57"/>
  <c r="K71" i="57"/>
  <c r="K116" i="78"/>
  <c r="K117" i="78" s="1"/>
  <c r="K50" i="57"/>
  <c r="J80" i="57"/>
  <c r="J83" i="57" s="1"/>
  <c r="J69" i="57"/>
  <c r="K31" i="57"/>
  <c r="K122" i="57"/>
  <c r="K27" i="57"/>
  <c r="K29" i="57" s="1"/>
  <c r="L14" i="98" l="1"/>
  <c r="K14" i="98"/>
  <c r="K112" i="81"/>
  <c r="K111" i="81"/>
  <c r="K118" i="81"/>
  <c r="K110" i="81"/>
  <c r="K88" i="63"/>
  <c r="K89" i="63" s="1"/>
  <c r="K94" i="63" s="1"/>
  <c r="K124" i="63"/>
  <c r="K78" i="63"/>
  <c r="K77" i="63"/>
  <c r="K76" i="63"/>
  <c r="K79" i="63"/>
  <c r="K81" i="63"/>
  <c r="K80" i="63"/>
  <c r="K111" i="80"/>
  <c r="K118" i="80"/>
  <c r="K110" i="80"/>
  <c r="K112" i="80"/>
  <c r="F141" i="89"/>
  <c r="F140" i="89"/>
  <c r="F139" i="89" s="1"/>
  <c r="F145" i="89" s="1"/>
  <c r="K54" i="57"/>
  <c r="K60" i="57" s="1"/>
  <c r="K110" i="79"/>
  <c r="K111" i="79"/>
  <c r="K112" i="79"/>
  <c r="K118" i="79"/>
  <c r="K112" i="78"/>
  <c r="K111" i="78"/>
  <c r="K118" i="78"/>
  <c r="K110" i="78"/>
  <c r="J72" i="57"/>
  <c r="J85" i="57" s="1"/>
  <c r="K58" i="57"/>
  <c r="K30" i="57"/>
  <c r="K113" i="79" l="1"/>
  <c r="K128" i="79" s="1"/>
  <c r="K129" i="79" s="1"/>
  <c r="K113" i="78"/>
  <c r="K128" i="78" s="1"/>
  <c r="K129" i="78" s="1"/>
  <c r="I9" i="98" s="1"/>
  <c r="J9" i="98" s="1"/>
  <c r="I10" i="98"/>
  <c r="J10" i="98" s="1"/>
  <c r="F138" i="79"/>
  <c r="C131" i="79"/>
  <c r="C132" i="79" s="1"/>
  <c r="K83" i="63"/>
  <c r="K113" i="81"/>
  <c r="K128" i="81" s="1"/>
  <c r="K129" i="81" s="1"/>
  <c r="K113" i="80"/>
  <c r="K128" i="80" s="1"/>
  <c r="K129" i="80" s="1"/>
  <c r="K103" i="57"/>
  <c r="K126" i="57" s="1"/>
  <c r="K32" i="57"/>
  <c r="K33" i="57" s="1"/>
  <c r="K36" i="57" s="1"/>
  <c r="F138" i="78" l="1"/>
  <c r="F141" i="78" s="1"/>
  <c r="C131" i="78"/>
  <c r="C132" i="78" s="1"/>
  <c r="L10" i="98"/>
  <c r="K10" i="98"/>
  <c r="L9" i="98"/>
  <c r="K9" i="98"/>
  <c r="I11" i="98"/>
  <c r="J11" i="98" s="1"/>
  <c r="C131" i="80"/>
  <c r="C132" i="80" s="1"/>
  <c r="F138" i="80"/>
  <c r="F140" i="79"/>
  <c r="F141" i="79"/>
  <c r="I13" i="98"/>
  <c r="J13" i="98" s="1"/>
  <c r="C131" i="81"/>
  <c r="C132" i="81" s="1"/>
  <c r="F138" i="81"/>
  <c r="K93" i="63"/>
  <c r="K95" i="63" s="1"/>
  <c r="K85" i="63"/>
  <c r="K43" i="57"/>
  <c r="K41" i="57"/>
  <c r="K39" i="57"/>
  <c r="K37" i="57"/>
  <c r="K42" i="57"/>
  <c r="K40" i="57"/>
  <c r="K38" i="57"/>
  <c r="F140" i="78" l="1"/>
  <c r="F139" i="78" s="1"/>
  <c r="F145" i="78" s="1"/>
  <c r="L13" i="98"/>
  <c r="K13" i="98"/>
  <c r="L11" i="98"/>
  <c r="K11" i="98"/>
  <c r="K125" i="63"/>
  <c r="K127" i="63" s="1"/>
  <c r="K109" i="63"/>
  <c r="K107" i="63"/>
  <c r="F140" i="81"/>
  <c r="F141" i="81"/>
  <c r="F139" i="79"/>
  <c r="F145" i="79" s="1"/>
  <c r="F141" i="80"/>
  <c r="F140" i="80"/>
  <c r="K44" i="57"/>
  <c r="F139" i="81" l="1"/>
  <c r="F145" i="81" s="1"/>
  <c r="F139" i="80"/>
  <c r="F145" i="80" s="1"/>
  <c r="F139" i="63"/>
  <c r="K108" i="63"/>
  <c r="F140" i="63" s="1"/>
  <c r="K59" i="57"/>
  <c r="K61" i="57" s="1"/>
  <c r="K70" i="57" l="1"/>
  <c r="K69" i="57"/>
  <c r="K68" i="57"/>
  <c r="K67" i="57"/>
  <c r="K66" i="57"/>
  <c r="K65" i="57"/>
  <c r="K72" i="57" s="1"/>
  <c r="K80" i="57" s="1"/>
  <c r="K77" i="57"/>
  <c r="K78" i="57"/>
  <c r="K76" i="57"/>
  <c r="K79" i="57"/>
  <c r="K81" i="57"/>
  <c r="K116" i="63"/>
  <c r="K117" i="63" s="1"/>
  <c r="F138" i="63"/>
  <c r="K123" i="57"/>
  <c r="K111" i="63" l="1"/>
  <c r="K118" i="63"/>
  <c r="K112" i="63"/>
  <c r="K110" i="63"/>
  <c r="K83" i="57"/>
  <c r="K93" i="57" s="1"/>
  <c r="K124" i="57"/>
  <c r="K88" i="57"/>
  <c r="K89" i="57" s="1"/>
  <c r="K94" i="57" s="1"/>
  <c r="K95" i="57" s="1"/>
  <c r="K85" i="57"/>
  <c r="K125" i="57" l="1"/>
  <c r="K127" i="57" s="1"/>
  <c r="K107" i="57"/>
  <c r="K109" i="57"/>
  <c r="K113" i="63"/>
  <c r="K128" i="63" s="1"/>
  <c r="K129" i="63" s="1"/>
  <c r="I17" i="98" l="1"/>
  <c r="J17" i="98" s="1"/>
  <c r="F134" i="63"/>
  <c r="K108" i="57"/>
  <c r="F143" i="57"/>
  <c r="L17" i="98" l="1"/>
  <c r="K17" i="98"/>
  <c r="F144" i="57"/>
  <c r="F142" i="57" s="1"/>
  <c r="K116" i="57"/>
  <c r="K117" i="57" s="1"/>
  <c r="F137" i="63"/>
  <c r="F136" i="63"/>
  <c r="F135" i="63" s="1"/>
  <c r="F141" i="63" s="1"/>
  <c r="F14" i="30"/>
  <c r="E14" i="30"/>
  <c r="F13" i="30"/>
  <c r="E13" i="30"/>
  <c r="F12" i="30"/>
  <c r="E12" i="30"/>
  <c r="H11" i="30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B48" i="21"/>
  <c r="B50" i="21" s="1"/>
  <c r="G52" i="21"/>
  <c r="E23" i="21"/>
  <c r="B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K110" i="57" l="1"/>
  <c r="K118" i="57"/>
  <c r="K111" i="57"/>
  <c r="K112" i="57"/>
  <c r="B78" i="21"/>
  <c r="F23" i="21"/>
  <c r="F15" i="30"/>
  <c r="G9" i="21"/>
  <c r="G26" i="21" s="1"/>
  <c r="K113" i="57" l="1"/>
  <c r="K128" i="57" s="1"/>
  <c r="K129" i="57" s="1"/>
  <c r="G29" i="21"/>
  <c r="G28" i="21" s="1"/>
  <c r="G31" i="21" s="1"/>
  <c r="G35" i="21" s="1"/>
  <c r="G33" i="21" s="1"/>
  <c r="G37" i="21" s="1"/>
  <c r="G41" i="21" s="1"/>
  <c r="G39" i="21" s="1"/>
  <c r="G43" i="21" s="1"/>
  <c r="G59" i="21" s="1"/>
  <c r="I8" i="98" l="1"/>
  <c r="J8" i="98" s="1"/>
  <c r="F138" i="57"/>
  <c r="C131" i="57"/>
  <c r="C132" i="57" s="1"/>
  <c r="G63" i="21"/>
  <c r="G64" i="21" s="1"/>
  <c r="G61" i="21"/>
  <c r="L8" i="98" l="1"/>
  <c r="L18" i="98" s="1"/>
  <c r="K8" i="98"/>
  <c r="K18" i="98" s="1"/>
  <c r="F141" i="57"/>
  <c r="F140" i="57"/>
  <c r="D76" i="21"/>
  <c r="F76" i="21" s="1"/>
  <c r="D68" i="21"/>
  <c r="F68" i="21" s="1"/>
  <c r="D73" i="21"/>
  <c r="F73" i="21" s="1"/>
  <c r="D75" i="21"/>
  <c r="F75" i="21" s="1"/>
  <c r="D70" i="21"/>
  <c r="F70" i="21" s="1"/>
  <c r="D71" i="21"/>
  <c r="F71" i="21" s="1"/>
  <c r="D72" i="21"/>
  <c r="F72" i="21" s="1"/>
  <c r="D69" i="21"/>
  <c r="F69" i="21" s="1"/>
  <c r="D77" i="21"/>
  <c r="F77" i="21" s="1"/>
  <c r="D67" i="21"/>
  <c r="F67" i="21" s="1"/>
  <c r="D74" i="21"/>
  <c r="F74" i="21" s="1"/>
  <c r="F139" i="57" l="1"/>
  <c r="F145" i="57" s="1"/>
  <c r="G80" i="21"/>
  <c r="F78" i="21"/>
  <c r="F79" i="21" s="1"/>
</calcChain>
</file>

<file path=xl/sharedStrings.xml><?xml version="1.0" encoding="utf-8"?>
<sst xmlns="http://schemas.openxmlformats.org/spreadsheetml/2006/main" count="2135" uniqueCount="362">
  <si>
    <t>FGTS</t>
  </si>
  <si>
    <t>INSS</t>
  </si>
  <si>
    <t>%</t>
  </si>
  <si>
    <t>INCRA</t>
  </si>
  <si>
    <t>SEBRAE</t>
  </si>
  <si>
    <t>a)</t>
  </si>
  <si>
    <t>b)</t>
  </si>
  <si>
    <t>c)</t>
  </si>
  <si>
    <t>PIS</t>
  </si>
  <si>
    <t>COFINS</t>
  </si>
  <si>
    <t>R$</t>
  </si>
  <si>
    <t>Quantidade</t>
  </si>
  <si>
    <t>PLANILHA PROPOSTA</t>
  </si>
  <si>
    <t>EQUIPE TÉCNICA DA EMPRESA GERENCIADORA DO PDSA II</t>
  </si>
  <si>
    <t>COMPOSIÇÃO MENSAL DA EQUIPE</t>
  </si>
  <si>
    <t>1 - MÃO-DE-OBRA DIRETA (MOD)</t>
  </si>
  <si>
    <t>Custo ano</t>
  </si>
  <si>
    <t>MÃO-DE-OBRA</t>
  </si>
  <si>
    <t>……………………………….......…….......……………………………………………………………………………………………………………………………….</t>
  </si>
  <si>
    <t>Meses</t>
  </si>
  <si>
    <t>Preço unitário</t>
  </si>
  <si>
    <t>Preço Anual</t>
  </si>
  <si>
    <t>Coordenador Geral da Equipe da Empresa Gerenciadora</t>
  </si>
  <si>
    <t>Advogado (Asses. Jurídico)</t>
  </si>
  <si>
    <t>Técnico em Aquisições/Licitações e Contratos</t>
  </si>
  <si>
    <t>Especialista em Gerenciamento Administrativo e Financeiro</t>
  </si>
  <si>
    <t>Técnico em Gerenciamento Administrativo e Financeiro</t>
  </si>
  <si>
    <t>Especialista em Monitoramento de Projetos</t>
  </si>
  <si>
    <t>Técnico em Monitoramento de Projetos</t>
  </si>
  <si>
    <t>Especialista Sênior em Monitoramento Sócioambiental</t>
  </si>
  <si>
    <t>Especialista Ambiental</t>
  </si>
  <si>
    <t>Técnico Ambiental</t>
  </si>
  <si>
    <t>Apoio Informática/Digitação</t>
  </si>
  <si>
    <t>Total</t>
  </si>
  <si>
    <t>CUSTO TOTAL MÃO-DE-OBRA</t>
  </si>
  <si>
    <t>...................................................................................................................................................</t>
  </si>
  <si>
    <t>2 - ENCARGOS SOCIAIS (ECS)</t>
  </si>
  <si>
    <t>ENCARGOS SOCIAIS (ECS)</t>
  </si>
  <si>
    <t>.....................................................................................................................</t>
  </si>
  <si>
    <t>5 - CUSTO DIRETO (CD=MOD+ECS+BMO+INV)</t>
  </si>
  <si>
    <t>6 - CUSTO ADMINISTRATIVO</t>
  </si>
  <si>
    <t>6.1. Custos administrativos</t>
  </si>
  <si>
    <t>....................................................................................................................</t>
  </si>
  <si>
    <t>Por demanda</t>
  </si>
  <si>
    <t>................................................................................................</t>
  </si>
  <si>
    <t>Valor que foi considerado</t>
  </si>
  <si>
    <t>ISS</t>
  </si>
  <si>
    <t>TOTAL %</t>
  </si>
  <si>
    <t>Valor mensal previsto (referência)</t>
  </si>
  <si>
    <t>Valor sobre a remuneração</t>
  </si>
  <si>
    <t>Fator sobre a remuneração</t>
  </si>
  <si>
    <t>Profissional</t>
  </si>
  <si>
    <t>Custo unitário proposto</t>
  </si>
  <si>
    <t>Valor unitário proposto</t>
  </si>
  <si>
    <t>Valor global por item (anual)</t>
  </si>
  <si>
    <t>Totais propostos</t>
  </si>
  <si>
    <t>Total da Parcela Mensal Proposta com todos os profissionais</t>
  </si>
  <si>
    <t>Total da Parcela Mensal Proposta apenas com os profissionais de contratação imediata</t>
  </si>
  <si>
    <t>Base de Cálculo</t>
  </si>
  <si>
    <t>NOVA TABELA DE VALORES DE DIÁRIAS - 01/07/2008</t>
  </si>
  <si>
    <t>CLASSE</t>
  </si>
  <si>
    <t>CARGO OU FUNÇÃO</t>
  </si>
  <si>
    <t>FORA DO ESTADO</t>
  </si>
  <si>
    <t>DENTRO DO ESTADO</t>
  </si>
  <si>
    <t>I</t>
  </si>
  <si>
    <t>GOVERNADOR E VICE</t>
  </si>
  <si>
    <t>II</t>
  </si>
  <si>
    <t>SECRETÁRIOS, SECRETÁRIOS ADJUNTOS, SECRETÁRIOS EXECUTIVOS, ASSESSORES ESPECIAIS, DIRETORES DOS ÓRGÃOS DA ADMININSTRAÇÃO DIRETA, DIRETORES DE EMPRESAS, AUTARQUIAS OU FUNDAÇÕES</t>
  </si>
  <si>
    <t>III</t>
  </si>
  <si>
    <t>CARGOS EM COMISSÃO - CEC, COORDENADORES, GERENTES, CHEFES DE DEPARTAMENTOS, CHEFES DE DIVISÃO, DIRETORES DE UNIDADES PRISIONAIS, DIRETORES DE UNIDADES HOSPITALARES</t>
  </si>
  <si>
    <t>IV</t>
  </si>
  <si>
    <t>TÉCNICOS DE NÍVEL SUPERIOR, SERVIDORES COM FC</t>
  </si>
  <si>
    <t>V</t>
  </si>
  <si>
    <t>DEMAIS CARGOS OU FUNÇÕES</t>
  </si>
  <si>
    <t>CARGO OU FUNÇÃO NA EG</t>
  </si>
  <si>
    <t>FORA DO ESTADO                    (Qnt. 15)</t>
  </si>
  <si>
    <t xml:space="preserve">DENTRO DO ESTADO                                  (Qnt. 25) </t>
  </si>
  <si>
    <t>Advogado (Asses. Jurídico), Especialista em Gerenciamento Administrativo e Financeiro, Especialista em Monitoramento de Projetos, Especialista Sênior em Monitoramento Sócioambiental, Especialista Ambiental</t>
  </si>
  <si>
    <t>Técnico em Gerenciamento Administrativo e Financeiro, Técnico em Aquisições/Licitações e Contratos, Técnico em Monitoramento de Projetos, Técnico Ambiental, Apoio Informática/Digitação</t>
  </si>
  <si>
    <t>7 - CUSTO DO SERVIÇO (CS=CD+CA+DR)</t>
  </si>
  <si>
    <t>8 - BDI - Fatores sobre o custo</t>
  </si>
  <si>
    <t>8.1. Lucro</t>
  </si>
  <si>
    <t>9 - BDI - Fatores sobre o preço - CUSTO TRIBUTÁRIO (CT)</t>
  </si>
  <si>
    <t>10 - DESPESAS REEMBOLSÁVEIS</t>
  </si>
  <si>
    <t>10.1. Passagens aéreas</t>
  </si>
  <si>
    <t>10.2. Diárias</t>
  </si>
  <si>
    <t>PREÇO DO SERVIÇO (PV=ECS+L+CT+DR)</t>
  </si>
  <si>
    <t>PLANILHA DE COMPOSIÇÃO DE CUSTOS E FORMAÇÃO DE PREÇOS</t>
  </si>
  <si>
    <t>IDENTIFICAÇÃO DO SERVIÇO</t>
  </si>
  <si>
    <t>Tipo de Serviço</t>
  </si>
  <si>
    <t>Unidade de Medida</t>
  </si>
  <si>
    <t>Postos</t>
  </si>
  <si>
    <t>Quantidade total a contratar</t>
  </si>
  <si>
    <t>VALOR (R$)</t>
  </si>
  <si>
    <t>B</t>
  </si>
  <si>
    <t>C</t>
  </si>
  <si>
    <t>D</t>
  </si>
  <si>
    <t>E</t>
  </si>
  <si>
    <t>COMPOSIÇÃO DA REMUNERAÇÃO</t>
  </si>
  <si>
    <t>A</t>
  </si>
  <si>
    <t>F</t>
  </si>
  <si>
    <t>G</t>
  </si>
  <si>
    <t>Salário Base</t>
  </si>
  <si>
    <t>Adicional de Periculosidade</t>
  </si>
  <si>
    <t>Adicional de Insalubridade</t>
  </si>
  <si>
    <t>Adicional Noturno (118: 12 horas noturno)</t>
  </si>
  <si>
    <t>Adicional de Hora Noturna Reduzida (DSR)</t>
  </si>
  <si>
    <t>Outros (Especificar)</t>
  </si>
  <si>
    <t>MÓDULO 1 - COMPOSIÇÃO DA REMUNERAÇÃO</t>
  </si>
  <si>
    <t>TOTAL DO MÓDULO 1</t>
  </si>
  <si>
    <t>Submódulo 2.1 - 13° Salário, Férias e Adicional de Férias</t>
  </si>
  <si>
    <t>13° (Décimo terceiro) salário</t>
  </si>
  <si>
    <t>Subtotal</t>
  </si>
  <si>
    <t>Adicional de Hora Extra 30 minutos - Descanso (cláusula 29 ACT/2019/2020)</t>
  </si>
  <si>
    <t>MÓDULO 2 - ENCARGOS, E BENEFÍCIOS ANUAIS, MENSAIS E DIÁRIOS</t>
  </si>
  <si>
    <t>2.1</t>
  </si>
  <si>
    <t>TOTAL DO MÓDULO 2</t>
  </si>
  <si>
    <t>TOTAL DO SUBMÓDULO 2.1</t>
  </si>
  <si>
    <t>MÓDULO 1</t>
  </si>
  <si>
    <t>MÓDULO 2 (Submódulo 2.1)</t>
  </si>
  <si>
    <t>2.2</t>
  </si>
  <si>
    <t>Submódulo 2.2 - GPS, FGTS e Outras Contrinuições</t>
  </si>
  <si>
    <t>H</t>
  </si>
  <si>
    <t>Salário Educação</t>
  </si>
  <si>
    <t>SESC ou SESI</t>
  </si>
  <si>
    <t>SENAI - SENAC</t>
  </si>
  <si>
    <t>TOTAL DO SUBMÓDULO 2.2</t>
  </si>
  <si>
    <t>2.3</t>
  </si>
  <si>
    <t>Submódulo 2.3 - Benefícios Mensais e Diários</t>
  </si>
  <si>
    <t>TOTAL DO SUBMÓDULO 2.3</t>
  </si>
  <si>
    <t>Vales Transporte</t>
  </si>
  <si>
    <t>Seguro de Vida</t>
  </si>
  <si>
    <t>Aux. Funeral</t>
  </si>
  <si>
    <t>PCMSO, PPRA E CIPA</t>
  </si>
  <si>
    <t>Programa de Qualificação do Trabalhador</t>
  </si>
  <si>
    <t>Kit Primeiros Socorros</t>
  </si>
  <si>
    <t>QUADRO-RESUMO DO MÓDULO 2 - ENCARGOS, BENEFÍCIOS ANUAIS, MENSAIS E DIÁRIOS</t>
  </si>
  <si>
    <t>Módulo 2 - Encargos, Benefícios Anuais, Mensais e Diários</t>
  </si>
  <si>
    <t>13° Salário, Férias e Adicional de Férias</t>
  </si>
  <si>
    <t>GPS, FGTS e Outras Contribuições</t>
  </si>
  <si>
    <t>Benefícios Mensais e Diários</t>
  </si>
  <si>
    <t xml:space="preserve">G 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</si>
  <si>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</si>
  <si>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</si>
  <si>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</si>
  <si>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</si>
  <si>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</si>
  <si>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 FGTS sobre o Aviso Prévio Trabalhado</t>
  </si>
  <si>
    <t>Outros (especificar)</t>
  </si>
  <si>
    <t>TOTAL DO MÓDULO 3</t>
  </si>
  <si>
    <t>MÓDULO 4 - CUSTO DE REPOSIÇÃO DO PROFISSIONAL AUSENTE</t>
  </si>
  <si>
    <t>Submódulo 4.1 - Ausências Legais</t>
  </si>
  <si>
    <t>4.1</t>
  </si>
  <si>
    <t>Ausências Legais</t>
  </si>
  <si>
    <t>TOTAL DO SUBMÓDULO 4.1</t>
  </si>
  <si>
    <t>TOTAL GERAL DOS ENCARGOS</t>
  </si>
  <si>
    <t>4.2</t>
  </si>
  <si>
    <t>Submódulo 4.2 - Intrajornada</t>
  </si>
  <si>
    <t>Intervalo para Repouso ou Alimentação (intrajornada)</t>
  </si>
  <si>
    <t>TOTAL DO SUBMÓDULO 4.2</t>
  </si>
  <si>
    <t>QUADRO-RESUMO DO MÓDULO 4 - CUSTO DE REPOSIÇÃO DO PROFISSIONAL AUSENTE</t>
  </si>
  <si>
    <t>Módulo 4 - Custo de Reposição do Profissional Ausente</t>
  </si>
  <si>
    <t>Intrajornada</t>
  </si>
  <si>
    <t>INSUMOS DIVERSOS</t>
  </si>
  <si>
    <t>TOTAL DO MÓDULO 5</t>
  </si>
  <si>
    <t>Uniformes</t>
  </si>
  <si>
    <t>Materiais</t>
  </si>
  <si>
    <t>EPI´s</t>
  </si>
  <si>
    <t>MÓDULO 6 - CUSTOS INDIRETOS, TRIBUTOS E LUCRO</t>
  </si>
  <si>
    <t>MÓDULO 5 - INSUMOS DIVERSOS</t>
  </si>
  <si>
    <t>CUSTOS INDIRETOS, TRIBUTOS E LUCRO</t>
  </si>
  <si>
    <t>TOTAL DO MÓDULO 6</t>
  </si>
  <si>
    <t>C.1</t>
  </si>
  <si>
    <t>C.2</t>
  </si>
  <si>
    <t>C.3</t>
  </si>
  <si>
    <t xml:space="preserve">Custos Indiretos </t>
  </si>
  <si>
    <t>Lucro</t>
  </si>
  <si>
    <t>TRIBUTOS</t>
  </si>
  <si>
    <t xml:space="preserve">Tributos % = </t>
  </si>
  <si>
    <t xml:space="preserve">To = </t>
  </si>
  <si>
    <t>/</t>
  </si>
  <si>
    <t>100...........................................................................................................................</t>
  </si>
  <si>
    <t>QUADRO RESUMO DO CUSTO POR EMPREGADO</t>
  </si>
  <si>
    <t>Mão de Obra vinculada à execução contratual (valor por empregado)</t>
  </si>
  <si>
    <t>MÓDULO 2 - ENCARGOS E BENEFÍCIOS ANUAIS, MENSAIS E DIÁRIOS</t>
  </si>
  <si>
    <t>Subtotal (A + B + C + D + E)</t>
  </si>
  <si>
    <t>PREÇO TOTAL POR EMPREGADO</t>
  </si>
  <si>
    <t>VALOR MENSAL</t>
  </si>
  <si>
    <t>VALOR GLOBAL</t>
  </si>
  <si>
    <t>Data da Proposta</t>
  </si>
  <si>
    <t>Município</t>
  </si>
  <si>
    <t>N° de meses de execução contratual</t>
  </si>
  <si>
    <t>Valor dos Tributos = P1 - Po..................................................................................................................................................................</t>
  </si>
  <si>
    <t>Po / (1 - To) = P1 = ....................................................................................................................................................................................</t>
  </si>
  <si>
    <t>(Total dos Módulos 1, 2, 3, 4 e 5 + Custos Indiretos + Lucro) = Po..............................................................................................</t>
  </si>
  <si>
    <t>Ano da (CONVENÇÃO COLETIVA)</t>
  </si>
  <si>
    <t>N° do Processo:</t>
  </si>
  <si>
    <t>N° da Licitaçao:</t>
  </si>
  <si>
    <t>Auxílio-Refeição/Alimentação</t>
  </si>
  <si>
    <t>ALINEA</t>
  </si>
  <si>
    <t>DESCRIÇÃO</t>
  </si>
  <si>
    <t>VALOR POR EMPREGADO</t>
  </si>
  <si>
    <t>Valor proposto por empregado</t>
  </si>
  <si>
    <t>Tributos Induretos (b1 + b2)</t>
  </si>
  <si>
    <t>b1</t>
  </si>
  <si>
    <t>IRPJ = 4,80% de A</t>
  </si>
  <si>
    <t>b2</t>
  </si>
  <si>
    <t>Custos Indiretos e Lucros (c 1 + c 2)</t>
  </si>
  <si>
    <t>c1</t>
  </si>
  <si>
    <t>Custos Indiretos</t>
  </si>
  <si>
    <t>c2</t>
  </si>
  <si>
    <t>Lucros</t>
  </si>
  <si>
    <t>Viabilidade da proposta para recolhimento entre o IRPJ e CSLL e o Lucro da empresa (C - B)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</si>
  <si>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</si>
  <si>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</si>
  <si>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</si>
  <si>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</si>
  <si>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Multa do FGTS do aviso prévio indenizado</t>
  </si>
  <si>
    <t>Multa do FGTS do aviso prévio trabalhado</t>
  </si>
  <si>
    <t>Substituto da cobertura por ausencia por doença</t>
  </si>
  <si>
    <t>Substituto na cobertura de Ausência de Férias (Proposcionais: 13° salário + Férias + Adicional de Férias)</t>
  </si>
  <si>
    <t>Férias e Adicional de Férias (1/3)</t>
  </si>
  <si>
    <t>CSLL = 1% de A</t>
  </si>
  <si>
    <t>PLANILHA DE VIABILIDADE DA PROPOSTA</t>
  </si>
  <si>
    <t>Item</t>
  </si>
  <si>
    <t>Descrição do Item</t>
  </si>
  <si>
    <t>Unidade de
Medida</t>
  </si>
  <si>
    <r>
      <t xml:space="preserve">DISCRIMINAÇÃO DO SERVIÇO: </t>
    </r>
    <r>
      <rPr>
        <b/>
        <sz val="8"/>
        <rFont val="Arial"/>
        <family val="2"/>
      </rPr>
      <t>Servente de Limpeza</t>
    </r>
  </si>
  <si>
    <t>Empregado porposto de trabalho</t>
  </si>
  <si>
    <t>ITEM</t>
  </si>
  <si>
    <t>QUANT. ANUAL ESTIMADA PARA REGISTRO</t>
  </si>
  <si>
    <t>UNID.</t>
  </si>
  <si>
    <t>Caixa</t>
  </si>
  <si>
    <t>Unid</t>
  </si>
  <si>
    <t>Pacote</t>
  </si>
  <si>
    <t>Pá coletora de lixo em plástico com cabo longo.</t>
  </si>
  <si>
    <t>QUANT. ANUAL ESTIMADA PARA REG.</t>
  </si>
  <si>
    <t>Custo mensal por Prestador</t>
  </si>
  <si>
    <t>Memória de cálculo</t>
  </si>
  <si>
    <t>Taxa anual de depreciação</t>
  </si>
  <si>
    <t>FÓRMULA</t>
  </si>
  <si>
    <t>N° DE MESES DE CONTRATO</t>
  </si>
  <si>
    <t>Dreprecciação Mensal = [Valor total dos equipamentos x 0,9)/(12X4)] / n° de postos)</t>
  </si>
  <si>
    <t>Prazo de vida útil (anos) - IN RBF N°1.700/20217 (média)</t>
  </si>
  <si>
    <t>TOTAL</t>
  </si>
  <si>
    <r>
      <t xml:space="preserve">DISCRIMINAÇÃO DO SERVIÇO: </t>
    </r>
    <r>
      <rPr>
        <b/>
        <sz val="8"/>
        <rFont val="Arial"/>
        <family val="2"/>
      </rPr>
      <t>Jardineiro</t>
    </r>
  </si>
  <si>
    <t>valor residual de 10% (100-10) = 90 / 0,9</t>
  </si>
  <si>
    <t>UTENSILIOS E QUIP. LIMPEZA</t>
  </si>
  <si>
    <t>MATERIAL DE LIMPEZA</t>
  </si>
  <si>
    <t>Dividir o custo total de meses pela qtde de postos</t>
  </si>
  <si>
    <t>Equipamentos e utensílios - Depresiação</t>
  </si>
  <si>
    <t>SERVIÇO DE LIMPEZA E CONSERVAÇÃO</t>
  </si>
  <si>
    <t>SERVIÇOS DE APOIO OPERACIONAL</t>
  </si>
  <si>
    <t>SERVIÇOS DE APOIO ADMINISTRATIVO</t>
  </si>
  <si>
    <t>LOTE ÚNICO</t>
  </si>
  <si>
    <t>POSTO DE TRABALHO</t>
  </si>
  <si>
    <r>
      <t xml:space="preserve">DISCRIMINAÇÃO DO SERVIÇO: </t>
    </r>
    <r>
      <rPr>
        <b/>
        <sz val="8"/>
        <rFont val="Arial"/>
        <family val="2"/>
      </rPr>
      <t xml:space="preserve">Encarregado Geral </t>
    </r>
  </si>
  <si>
    <r>
      <t xml:space="preserve">DISCRIMINAÇÃO DO SERVIÇO: </t>
    </r>
    <r>
      <rPr>
        <b/>
        <sz val="8"/>
        <rFont val="Arial"/>
        <family val="2"/>
      </rPr>
      <t>Aux. de Serviços Diversos</t>
    </r>
  </si>
  <si>
    <r>
      <t xml:space="preserve">DISCRIMINAÇÃO DO SERVIÇO: </t>
    </r>
    <r>
      <rPr>
        <b/>
        <sz val="8"/>
        <rFont val="Arial"/>
        <family val="2"/>
      </rPr>
      <t>Serviço de Copeiragem</t>
    </r>
  </si>
  <si>
    <r>
      <t xml:space="preserve">DISCRIMINAÇÃO DO SERVIÇO: </t>
    </r>
    <r>
      <rPr>
        <b/>
        <sz val="8"/>
        <rFont val="Arial"/>
        <family val="2"/>
      </rPr>
      <t>Garçom</t>
    </r>
  </si>
  <si>
    <r>
      <t xml:space="preserve">DISCRIMINAÇÃO DO SERVIÇO: </t>
    </r>
    <r>
      <rPr>
        <b/>
        <sz val="8"/>
        <rFont val="Arial"/>
        <family val="2"/>
      </rPr>
      <t>Recepcionista Nível I</t>
    </r>
  </si>
  <si>
    <r>
      <t xml:space="preserve">DISCRIMINAÇÃO DO SERVIÇO: </t>
    </r>
    <r>
      <rPr>
        <b/>
        <sz val="8"/>
        <rFont val="Arial"/>
        <family val="2"/>
      </rPr>
      <t>Auxiliar Administrativo</t>
    </r>
  </si>
  <si>
    <t>Água Sanitária alvejante, desinfetante, germicida, bactericida, frasco resistente; com capacidade de 5 litros.</t>
  </si>
  <si>
    <t>Álcool etílico líquido para uso doméstico 92,8º  frasco com 500ml e com selo do INMETRO, cx com 12 unidades.</t>
  </si>
  <si>
    <t>cx</t>
  </si>
  <si>
    <t>Galão</t>
  </si>
  <si>
    <t xml:space="preserve">Desinfetante líquido (germicida e bactericida), frasco de 500ml fragrância lavanda, cx com 12 unidades </t>
  </si>
  <si>
    <t>Detergente Limpa piso, galão de 5 litros</t>
  </si>
  <si>
    <t>Detergente Líquido, Neutro biodegradável, frasco de 500 ml, cx com 12 unidades</t>
  </si>
  <si>
    <t>CX</t>
  </si>
  <si>
    <t>Esponja dupla face multiuso, pacote com 8 unidades</t>
  </si>
  <si>
    <t>Flanela branca (38x58cm) amarela</t>
  </si>
  <si>
    <t>Inseticida (Aerosol), frasco de 300ml, cx com 12 unidades</t>
  </si>
  <si>
    <t>Lã de aço, pct c/ 8 unid, fardo com 20 pacotes</t>
  </si>
  <si>
    <t>Fardo</t>
  </si>
  <si>
    <t>Limpa alumínio, frasco de 500ml</t>
  </si>
  <si>
    <t>litros</t>
  </si>
  <si>
    <t>Limpa pedras, frasco de 1 litro</t>
  </si>
  <si>
    <t>Lustra móveis à base de cera natural, frasco de 200ml</t>
  </si>
  <si>
    <t>Multiuso comum, frasco de (500 ml), cx com 12 unidades</t>
  </si>
  <si>
    <t>Removedor, galão de 5 litros</t>
  </si>
  <si>
    <t>Limpa vidros, frasco de 500ml, cx com 24 unidades</t>
  </si>
  <si>
    <t>Sapólio, frasco de 250ml, cremoso</t>
  </si>
  <si>
    <t>Naftalina bolas, embalagem de 1 kg</t>
  </si>
  <si>
    <t>Papel Higiênico (rolão 300m), folha simples, absorvente de alta qualidade, 100% fibras naturais, picotado, uniforme, fácil destaque, cor branca e sem aroma, fardo com 8 rolos.</t>
  </si>
  <si>
    <t>Papel Higiênico (rolo 60m), folha dupla, absorvente de alta qualidade, 100% fibras naturais, picotado, uniforme, fácil destaque, cor branca e sem aroma, fardo com 24 rolos.</t>
  </si>
  <si>
    <t>Papel toalha interfolha (1000 fls), branco, com duas dobras de 23 x 23 cm com fardo com 5 unidades.</t>
  </si>
  <si>
    <t>Papel toalha rolo, folha dupla, 100% celulose, branco, com 120 toalhas, fardo com 24 rolos.</t>
  </si>
  <si>
    <t>(Aromatizador) Purificador de Ar 360ml (tipo Glade)</t>
  </si>
  <si>
    <t>Sabão em Pedra Glicerinado, pacote com 5 unidades</t>
  </si>
  <si>
    <t>Sabão em pó de primeira qualidade, pacote de 500ml, cx com 12 unidades</t>
  </si>
  <si>
    <t>Sabonete líquido, concentrado, essências naturais, aroma variado e de primeira qualidade.</t>
  </si>
  <si>
    <t>Cera líquida vermelha, frasco de 750ml</t>
  </si>
  <si>
    <t xml:space="preserve">Saco de Lixo plástico de alta resistência 30 litros, preto com 100 unidades </t>
  </si>
  <si>
    <t>Saco de Lixo plástico de alta resistência 100 litros, preto com 100 unidades.</t>
  </si>
  <si>
    <t>kg</t>
  </si>
  <si>
    <t>Unidade</t>
  </si>
  <si>
    <t>Litros</t>
  </si>
  <si>
    <t>Frasco</t>
  </si>
  <si>
    <t>Saco Alvejado Lâmina 42x70</t>
  </si>
  <si>
    <t>Vassoura de piaçava com cabo</t>
  </si>
  <si>
    <t>Vassoura de pêlo, cerdas macias com cabo</t>
  </si>
  <si>
    <t>Balde em plástico, capacidade para 20 litros para pedreiro.</t>
  </si>
  <si>
    <t>Rodo com borracha dupla, tamanho médio, medindo 40 cm, cabo rosqueável revestido em plástico, com encaixe Plástico resistente.</t>
  </si>
  <si>
    <t>Vassourão piaçava 40 cm com reforço, cabo de madeira encapado e rosqueável.</t>
  </si>
  <si>
    <t>Vassoura Escovão Limpeza, plástica, cerdas duras, largura 25 cm, cabo de madeira encapado e rosqueável</t>
  </si>
  <si>
    <t>Rodo 60 cm com cabo de madeira encapado e rosqueável</t>
  </si>
  <si>
    <t>Escova sanitária plástica, resistente, com dispenser</t>
  </si>
  <si>
    <t>Estimativa para cálculo postos (SERVENTE/ENCARREGADO)</t>
  </si>
  <si>
    <t>Total de postos (SERVENTE/ENCARREGADO)</t>
  </si>
  <si>
    <r>
      <t>OBJETO:</t>
    </r>
    <r>
      <rPr>
        <sz val="8"/>
        <rFont val="Arial"/>
        <family val="2"/>
      </rPr>
      <t xml:space="preserve"> Contratação de empresa especializada para prestação de serviços de limpeza e higienização predial, com disponibilização de mão de obra, saneantes domissanitários, materiais e equipamentos, para os cargos de Servente de Limpeza, Encarregado, Jardineiro, Auxiliar de Serviços Diversos, Copeiro e Garçom, Recepcionista e Auxiliar Administrativo, a fim de atender as necessidades da Assembleia legislativa do Estado do Acre a serem executados com regime de dedicação exclusiva de mão de obra</t>
    </r>
  </si>
  <si>
    <t>AC000012/2024</t>
  </si>
  <si>
    <t>RIO BRANCO</t>
  </si>
  <si>
    <r>
      <t>SAT (RAT x FAP) - FAP de 0,5 a 2,00 | VARIAÇÃO 0,5% a 6% -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Aplicar SAT da empresa</t>
    </r>
  </si>
  <si>
    <r>
      <t xml:space="preserve">PIS - Lucro Presumido 0,65% | Lucro Real 1,65% - </t>
    </r>
    <r>
      <rPr>
        <b/>
        <sz val="8"/>
        <color rgb="FFFF0000"/>
        <rFont val="Arial"/>
        <family val="2"/>
      </rPr>
      <t>Aplicar conforme tributação da empresa</t>
    </r>
  </si>
  <si>
    <r>
      <t>COFINS - Presumido 3% | Lucro Real 7,60% -</t>
    </r>
    <r>
      <rPr>
        <b/>
        <sz val="8"/>
        <color rgb="FFFF0000"/>
        <rFont val="Arial"/>
        <family val="2"/>
      </rPr>
      <t xml:space="preserve"> Aplicar conforme tributação da empresa</t>
    </r>
  </si>
  <si>
    <t>Dispensador para   papel toalha interfolhas em plástico ABS</t>
  </si>
  <si>
    <t>Dispensador para sabonete líquido em plástico ABS, capacidade mínima do reservatório 800ml</t>
  </si>
  <si>
    <t>Dispensador de papel higiênico para rolos de 300metros</t>
  </si>
  <si>
    <t>Lixeira 100 L, Tipo balde, com alças nas laterais, na cor Preta, Material em plástico,com tampa basculante, Diâmetro: 51cm altura:69cm.</t>
  </si>
  <si>
    <t>Lixeira Basculante 60L/50 L, na cor marrom, adesivada para reciclagem de lixo orgânico, Formato quadrado, material plástico. Com tampa.</t>
  </si>
  <si>
    <t>Suporte dispenser para copo descartável de água 180/200 ml-com capacidade mínima de 100 copos, suporte modelo poupa Copo.</t>
  </si>
  <si>
    <t>Suporte dispenser para copo descartável de café 50/80 ml – com capacidade mínima de 100 copos, suporte modelo poupa Copo.</t>
  </si>
  <si>
    <t>Vassourão com 40cm, com cabo</t>
  </si>
  <si>
    <t>Carro Coletor de lixo120 Litros com rodas, emplástico.</t>
  </si>
  <si>
    <t>Compressor para jato d’água – lavadora de alta pressão</t>
  </si>
  <si>
    <t>Escada Extensiva de Alumínio 2x8 com16 Degraus</t>
  </si>
  <si>
    <t>Aspirador de pó</t>
  </si>
  <si>
    <t>Lavadora de piso compacta</t>
  </si>
  <si>
    <t>Placa Sinalizadora “cuidado piso molhado”</t>
  </si>
  <si>
    <t>Mangueira plástica resistente, 3/4 com 100mt</t>
  </si>
  <si>
    <t>Servente  de limpeza (40 horas semanais)</t>
  </si>
  <si>
    <t>Encarregado Geral (40 horas semanais)</t>
  </si>
  <si>
    <t>Jardineiro (40 horas semanais)</t>
  </si>
  <si>
    <t>Aux. de Serviços Diversos (40 horas semanais)</t>
  </si>
  <si>
    <t>Serviço de Copeiragem (40 horas semanais)</t>
  </si>
  <si>
    <t>Garçom (40 horas semanais)</t>
  </si>
  <si>
    <t>Recepcionista Nível I (40 horas semanais)</t>
  </si>
  <si>
    <t>Auxiliar Administrativo (40 horas semanais)</t>
  </si>
  <si>
    <t>Quant.
Estimada Para Contratação (a)</t>
  </si>
  <si>
    <t>Postos deTrabalho para registro
[b]</t>
  </si>
  <si>
    <t>Meses do Contrato
[c]</t>
  </si>
  <si>
    <t>Salário Base
[d]</t>
  </si>
  <si>
    <t>Valor por Posto de Trabalho
[e]</t>
  </si>
  <si>
    <t>Valor Anual por Posto
[f] = [e] x [c]</t>
  </si>
  <si>
    <t>Valor Total Contrato
[g] = [f] x [a]</t>
  </si>
  <si>
    <t>Valor Total Anual
[h] = [g] x [b]</t>
  </si>
  <si>
    <t>ASSEMBLEIA LEGISLATIVA DO ESTADO DO ACRE</t>
  </si>
  <si>
    <t>VALOR UNITÁRIO</t>
  </si>
  <si>
    <t>VALOR TOTAL</t>
  </si>
  <si>
    <t>DESCRIÇÃO DOS MATERIAIS</t>
  </si>
  <si>
    <t>Servente de Limpeza</t>
  </si>
  <si>
    <t>Encarregado Geral</t>
  </si>
  <si>
    <t>Jardineiro</t>
  </si>
  <si>
    <t>Aux. Serv. Diversos</t>
  </si>
  <si>
    <t>Copeiro</t>
  </si>
  <si>
    <t>Recepcionista Nivel 1</t>
  </si>
  <si>
    <t>Aux. Adm. Nivel 1</t>
  </si>
  <si>
    <t>Rio Branco-Ac, 31/07/2024.</t>
  </si>
  <si>
    <t>Robson Marreiros</t>
  </si>
  <si>
    <t xml:space="preserve">                              Coordenador de Patrimonio e Material</t>
  </si>
  <si>
    <t>Garçom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</si>
</sst>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(* #,##0.0_);_(* \(#,##0.0\);_(* &quot;-&quot;??_);_(@_)"/>
    <numFmt numFmtId="168" formatCode="0.0000"/>
    <numFmt numFmtId="169" formatCode="0.0%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* #,##0.0000_);_(* \(#,##0.0000\);_(* &quot;-&quot;??_);_(@_)"/>
    <numFmt numFmtId="173" formatCode="_(&quot;R$ &quot;* #,##0_);_(&quot;R$ &quot;* \(#,##0\);_(&quot;R$ &quot;* &quot;-&quot;??_);_(@_)"/>
    <numFmt numFmtId="174" formatCode="0.000%"/>
    <numFmt numFmtId="175" formatCode="0.0"/>
    <numFmt numFmtId="176" formatCode="&quot;R$&quot;#,##0.00"/>
    <numFmt numFmtId="177" formatCode="&quot;R$&quot;\ #,##0.00"/>
    <numFmt numFmtId="178" formatCode="#,##0.00;[Red]#,##0.0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3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b/>
      <sz val="24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b/>
      <sz val="8"/>
      <color rgb="FFFF0000"/>
      <name val="Arial"/>
      <family val="2"/>
    </font>
    <font>
      <sz val="12"/>
      <name val="Arial Narrow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1" applyNumberFormat="0" applyAlignment="0" applyProtection="0"/>
    <xf numFmtId="0" fontId="11" fillId="0" borderId="2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/>
    <xf numFmtId="0" fontId="1" fillId="0" borderId="0"/>
    <xf numFmtId="0" fontId="1" fillId="3" borderId="3" applyNumberFormat="0" applyFont="0" applyAlignment="0" applyProtection="0"/>
    <xf numFmtId="9" fontId="1" fillId="0" borderId="0" applyFont="0" applyFill="0" applyBorder="0" applyAlignment="0" applyProtection="0"/>
    <xf numFmtId="0" fontId="13" fillId="9" borderId="4" applyNumberFormat="0" applyAlignment="0" applyProtection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05">
    <xf numFmtId="0" fontId="0" fillId="0" borderId="0" xfId="0"/>
    <xf numFmtId="166" fontId="5" fillId="0" borderId="0" xfId="0" applyNumberFormat="1" applyFont="1"/>
    <xf numFmtId="166" fontId="0" fillId="0" borderId="0" xfId="0" applyNumberFormat="1"/>
    <xf numFmtId="0" fontId="6" fillId="0" borderId="0" xfId="0" applyFont="1"/>
    <xf numFmtId="165" fontId="0" fillId="0" borderId="0" xfId="0" applyNumberFormat="1"/>
    <xf numFmtId="0" fontId="1" fillId="0" borderId="0" xfId="35"/>
    <xf numFmtId="0" fontId="18" fillId="0" borderId="6" xfId="35" applyFont="1" applyBorder="1"/>
    <xf numFmtId="0" fontId="1" fillId="0" borderId="0" xfId="35" applyAlignment="1">
      <alignment horizontal="center"/>
    </xf>
    <xf numFmtId="0" fontId="1" fillId="0" borderId="7" xfId="35" applyBorder="1"/>
    <xf numFmtId="0" fontId="4" fillId="0" borderId="8" xfId="35" applyFont="1" applyBorder="1"/>
    <xf numFmtId="0" fontId="1" fillId="0" borderId="9" xfId="35" applyBorder="1"/>
    <xf numFmtId="0" fontId="1" fillId="0" borderId="10" xfId="35" applyBorder="1" applyAlignment="1">
      <alignment horizontal="center"/>
    </xf>
    <xf numFmtId="0" fontId="1" fillId="0" borderId="11" xfId="35" applyBorder="1"/>
    <xf numFmtId="0" fontId="4" fillId="0" borderId="0" xfId="35" applyFont="1" applyAlignment="1">
      <alignment horizontal="center"/>
    </xf>
    <xf numFmtId="0" fontId="4" fillId="0" borderId="12" xfId="35" applyFont="1" applyBorder="1" applyAlignment="1">
      <alignment horizontal="center"/>
    </xf>
    <xf numFmtId="0" fontId="1" fillId="0" borderId="12" xfId="35" applyBorder="1" applyAlignment="1">
      <alignment horizontal="center"/>
    </xf>
    <xf numFmtId="0" fontId="4" fillId="0" borderId="11" xfId="35" applyFont="1" applyBorder="1"/>
    <xf numFmtId="4" fontId="4" fillId="0" borderId="0" xfId="35" applyNumberFormat="1" applyFont="1" applyAlignment="1">
      <alignment horizontal="center"/>
    </xf>
    <xf numFmtId="4" fontId="4" fillId="0" borderId="12" xfId="35" applyNumberFormat="1" applyFont="1" applyBorder="1" applyAlignment="1">
      <alignment horizontal="right" indent="1"/>
    </xf>
    <xf numFmtId="4" fontId="1" fillId="0" borderId="0" xfId="35" applyNumberFormat="1" applyAlignment="1">
      <alignment horizontal="center"/>
    </xf>
    <xf numFmtId="4" fontId="1" fillId="0" borderId="12" xfId="35" applyNumberFormat="1" applyBorder="1" applyAlignment="1">
      <alignment horizontal="right" indent="1"/>
    </xf>
    <xf numFmtId="0" fontId="1" fillId="0" borderId="11" xfId="35" applyBorder="1" applyAlignment="1">
      <alignment vertical="center"/>
    </xf>
    <xf numFmtId="0" fontId="1" fillId="0" borderId="0" xfId="35" applyAlignment="1">
      <alignment horizontal="center" vertical="center" wrapText="1"/>
    </xf>
    <xf numFmtId="4" fontId="1" fillId="0" borderId="0" xfId="35" applyNumberFormat="1" applyAlignment="1">
      <alignment horizontal="center" vertical="center" wrapText="1"/>
    </xf>
    <xf numFmtId="0" fontId="1" fillId="0" borderId="0" xfId="35" applyAlignment="1">
      <alignment horizontal="center" vertical="center"/>
    </xf>
    <xf numFmtId="4" fontId="1" fillId="0" borderId="12" xfId="35" applyNumberFormat="1" applyBorder="1" applyAlignment="1">
      <alignment horizontal="right" vertical="center" indent="1"/>
    </xf>
    <xf numFmtId="0" fontId="1" fillId="0" borderId="0" xfId="35" applyAlignment="1">
      <alignment vertical="center"/>
    </xf>
    <xf numFmtId="0" fontId="1" fillId="0" borderId="11" xfId="35" applyBorder="1" applyAlignment="1">
      <alignment vertical="center" wrapText="1"/>
    </xf>
    <xf numFmtId="3" fontId="1" fillId="0" borderId="0" xfId="35" applyNumberFormat="1" applyAlignment="1">
      <alignment horizontal="center" vertical="center"/>
    </xf>
    <xf numFmtId="165" fontId="0" fillId="0" borderId="0" xfId="41" applyFont="1" applyBorder="1" applyAlignment="1">
      <alignment horizontal="center" vertical="center"/>
    </xf>
    <xf numFmtId="43" fontId="1" fillId="0" borderId="0" xfId="35" applyNumberFormat="1" applyAlignment="1">
      <alignment horizontal="center" vertical="center"/>
    </xf>
    <xf numFmtId="0" fontId="1" fillId="0" borderId="0" xfId="35" applyAlignment="1">
      <alignment vertical="center" wrapText="1"/>
    </xf>
    <xf numFmtId="4" fontId="1" fillId="0" borderId="0" xfId="35" applyNumberFormat="1" applyAlignment="1">
      <alignment horizontal="center" vertical="center"/>
    </xf>
    <xf numFmtId="43" fontId="1" fillId="0" borderId="0" xfId="35" applyNumberFormat="1" applyAlignment="1">
      <alignment horizontal="center"/>
    </xf>
    <xf numFmtId="0" fontId="4" fillId="0" borderId="11" xfId="35" applyFont="1" applyBorder="1" applyAlignment="1">
      <alignment vertical="center"/>
    </xf>
    <xf numFmtId="0" fontId="23" fillId="0" borderId="0" xfId="35" applyFont="1" applyAlignment="1">
      <alignment vertical="center"/>
    </xf>
    <xf numFmtId="4" fontId="4" fillId="0" borderId="12" xfId="35" applyNumberFormat="1" applyFont="1" applyBorder="1" applyAlignment="1">
      <alignment horizontal="right" vertical="center" indent="1"/>
    </xf>
    <xf numFmtId="169" fontId="1" fillId="0" borderId="0" xfId="37" applyNumberFormat="1" applyBorder="1" applyAlignment="1">
      <alignment horizontal="center" vertical="center"/>
    </xf>
    <xf numFmtId="169" fontId="1" fillId="0" borderId="0" xfId="37" applyNumberFormat="1" applyBorder="1" applyAlignment="1">
      <alignment horizontal="center"/>
    </xf>
    <xf numFmtId="4" fontId="4" fillId="0" borderId="12" xfId="35" applyNumberFormat="1" applyFont="1" applyBorder="1" applyAlignment="1">
      <alignment horizontal="right" vertical="center"/>
    </xf>
    <xf numFmtId="0" fontId="4" fillId="0" borderId="0" xfId="35" applyFont="1" applyAlignment="1">
      <alignment vertical="center"/>
    </xf>
    <xf numFmtId="169" fontId="0" fillId="0" borderId="0" xfId="37" applyNumberFormat="1" applyFont="1" applyBorder="1" applyAlignment="1">
      <alignment horizontal="center"/>
    </xf>
    <xf numFmtId="9" fontId="1" fillId="0" borderId="0" xfId="35" applyNumberFormat="1"/>
    <xf numFmtId="4" fontId="1" fillId="0" borderId="0" xfId="35" applyNumberFormat="1"/>
    <xf numFmtId="169" fontId="20" fillId="0" borderId="0" xfId="37" applyNumberFormat="1" applyFont="1" applyBorder="1" applyAlignment="1">
      <alignment horizontal="center"/>
    </xf>
    <xf numFmtId="10" fontId="1" fillId="0" borderId="0" xfId="35" applyNumberFormat="1" applyAlignment="1">
      <alignment horizontal="center"/>
    </xf>
    <xf numFmtId="0" fontId="1" fillId="0" borderId="12" xfId="35" applyBorder="1" applyAlignment="1">
      <alignment horizontal="right" indent="1"/>
    </xf>
    <xf numFmtId="0" fontId="1" fillId="0" borderId="0" xfId="35" applyAlignment="1">
      <alignment horizontal="center" wrapText="1"/>
    </xf>
    <xf numFmtId="10" fontId="1" fillId="0" borderId="0" xfId="37" applyNumberFormat="1" applyBorder="1" applyAlignment="1">
      <alignment horizontal="center"/>
    </xf>
    <xf numFmtId="10" fontId="4" fillId="0" borderId="0" xfId="37" applyNumberFormat="1" applyFont="1" applyBorder="1" applyAlignment="1">
      <alignment horizontal="center"/>
    </xf>
    <xf numFmtId="10" fontId="1" fillId="0" borderId="0" xfId="35" applyNumberFormat="1" applyAlignment="1">
      <alignment horizontal="left"/>
    </xf>
    <xf numFmtId="165" fontId="0" fillId="0" borderId="0" xfId="41" applyFont="1" applyBorder="1"/>
    <xf numFmtId="10" fontId="1" fillId="0" borderId="11" xfId="37" applyNumberFormat="1" applyBorder="1"/>
    <xf numFmtId="0" fontId="1" fillId="0" borderId="12" xfId="35" applyBorder="1" applyAlignment="1">
      <alignment horizontal="right" vertical="center"/>
    </xf>
    <xf numFmtId="0" fontId="1" fillId="0" borderId="13" xfId="35" applyBorder="1" applyAlignment="1">
      <alignment vertical="center"/>
    </xf>
    <xf numFmtId="0" fontId="1" fillId="0" borderId="14" xfId="35" applyBorder="1" applyAlignment="1">
      <alignment vertical="center"/>
    </xf>
    <xf numFmtId="0" fontId="4" fillId="24" borderId="15" xfId="35" applyFont="1" applyFill="1" applyBorder="1" applyAlignment="1">
      <alignment vertical="center"/>
    </xf>
    <xf numFmtId="0" fontId="1" fillId="24" borderId="16" xfId="35" applyFill="1" applyBorder="1" applyAlignment="1">
      <alignment vertical="center"/>
    </xf>
    <xf numFmtId="0" fontId="4" fillId="24" borderId="16" xfId="35" applyFont="1" applyFill="1" applyBorder="1" applyAlignment="1">
      <alignment vertical="center"/>
    </xf>
    <xf numFmtId="4" fontId="4" fillId="24" borderId="17" xfId="35" applyNumberFormat="1" applyFont="1" applyFill="1" applyBorder="1" applyAlignment="1">
      <alignment horizontal="right" vertical="center"/>
    </xf>
    <xf numFmtId="0" fontId="24" fillId="0" borderId="0" xfId="35" applyFont="1"/>
    <xf numFmtId="0" fontId="24" fillId="0" borderId="0" xfId="35" applyFont="1" applyAlignment="1">
      <alignment horizontal="right" indent="1"/>
    </xf>
    <xf numFmtId="0" fontId="25" fillId="25" borderId="0" xfId="35" applyFont="1" applyFill="1"/>
    <xf numFmtId="0" fontId="26" fillId="25" borderId="0" xfId="35" applyFont="1" applyFill="1"/>
    <xf numFmtId="0" fontId="26" fillId="25" borderId="0" xfId="35" applyFont="1" applyFill="1" applyAlignment="1">
      <alignment horizontal="right"/>
    </xf>
    <xf numFmtId="4" fontId="26" fillId="25" borderId="0" xfId="35" applyNumberFormat="1" applyFont="1" applyFill="1" applyAlignment="1">
      <alignment horizontal="right" indent="1"/>
    </xf>
    <xf numFmtId="0" fontId="25" fillId="0" borderId="0" xfId="35" applyFont="1"/>
    <xf numFmtId="168" fontId="26" fillId="25" borderId="0" xfId="35" applyNumberFormat="1" applyFont="1" applyFill="1" applyAlignment="1">
      <alignment horizontal="right" indent="1"/>
    </xf>
    <xf numFmtId="0" fontId="4" fillId="0" borderId="5" xfId="35" applyFont="1" applyBorder="1" applyAlignment="1">
      <alignment vertical="center"/>
    </xf>
    <xf numFmtId="0" fontId="4" fillId="0" borderId="5" xfId="35" applyFont="1" applyBorder="1" applyAlignment="1">
      <alignment vertical="center" wrapText="1"/>
    </xf>
    <xf numFmtId="0" fontId="4" fillId="0" borderId="5" xfId="35" applyFont="1" applyBorder="1" applyAlignment="1">
      <alignment horizontal="center" vertical="center" wrapText="1"/>
    </xf>
    <xf numFmtId="0" fontId="4" fillId="0" borderId="5" xfId="35" applyFont="1" applyBorder="1" applyAlignment="1">
      <alignment horizontal="center" vertical="center"/>
    </xf>
    <xf numFmtId="0" fontId="4" fillId="0" borderId="0" xfId="35" applyFont="1" applyAlignment="1">
      <alignment horizontal="center" vertical="center" wrapText="1"/>
    </xf>
    <xf numFmtId="0" fontId="1" fillId="0" borderId="5" xfId="35" applyBorder="1" applyAlignment="1">
      <alignment horizontal="center" vertical="center"/>
    </xf>
    <xf numFmtId="165" fontId="1" fillId="0" borderId="5" xfId="35" applyNumberFormat="1" applyBorder="1" applyAlignment="1">
      <alignment horizontal="center" vertical="center"/>
    </xf>
    <xf numFmtId="165" fontId="0" fillId="0" borderId="5" xfId="41" applyFont="1" applyBorder="1" applyAlignment="1">
      <alignment vertical="center"/>
    </xf>
    <xf numFmtId="165" fontId="0" fillId="0" borderId="5" xfId="41" applyFont="1" applyBorder="1" applyAlignment="1">
      <alignment horizontal="center" vertical="center"/>
    </xf>
    <xf numFmtId="165" fontId="4" fillId="0" borderId="0" xfId="41" applyFont="1" applyBorder="1" applyAlignment="1">
      <alignment horizontal="right" vertical="center" indent="1"/>
    </xf>
    <xf numFmtId="167" fontId="0" fillId="0" borderId="5" xfId="41" applyNumberFormat="1" applyFont="1" applyBorder="1" applyAlignment="1">
      <alignment horizontal="center" vertical="center"/>
    </xf>
    <xf numFmtId="2" fontId="1" fillId="0" borderId="5" xfId="35" applyNumberFormat="1" applyBorder="1" applyAlignment="1">
      <alignment vertical="center"/>
    </xf>
    <xf numFmtId="165" fontId="4" fillId="0" borderId="5" xfId="41" applyFont="1" applyBorder="1" applyAlignment="1">
      <alignment horizontal="center" vertical="center"/>
    </xf>
    <xf numFmtId="43" fontId="21" fillId="26" borderId="5" xfId="35" applyNumberFormat="1" applyFont="1" applyFill="1" applyBorder="1" applyAlignment="1">
      <alignment vertical="center" wrapText="1"/>
    </xf>
    <xf numFmtId="43" fontId="1" fillId="0" borderId="0" xfId="35" applyNumberFormat="1"/>
    <xf numFmtId="43" fontId="21" fillId="27" borderId="18" xfId="35" applyNumberFormat="1" applyFont="1" applyFill="1" applyBorder="1" applyAlignment="1">
      <alignment vertical="center" wrapText="1"/>
    </xf>
    <xf numFmtId="43" fontId="21" fillId="27" borderId="19" xfId="35" applyNumberFormat="1" applyFont="1" applyFill="1" applyBorder="1" applyAlignment="1">
      <alignment vertical="center" wrapText="1"/>
    </xf>
    <xf numFmtId="165" fontId="4" fillId="0" borderId="0" xfId="35" applyNumberFormat="1" applyFont="1" applyAlignment="1">
      <alignment vertical="center"/>
    </xf>
    <xf numFmtId="165" fontId="4" fillId="0" borderId="0" xfId="41" applyFont="1" applyAlignment="1">
      <alignment horizontal="center" vertical="center"/>
    </xf>
    <xf numFmtId="165" fontId="1" fillId="0" borderId="0" xfId="35" applyNumberFormat="1" applyAlignment="1">
      <alignment horizontal="center"/>
    </xf>
    <xf numFmtId="0" fontId="1" fillId="27" borderId="5" xfId="35" applyFill="1" applyBorder="1" applyAlignment="1">
      <alignment vertical="center" wrapText="1"/>
    </xf>
    <xf numFmtId="0" fontId="1" fillId="0" borderId="0" xfId="0" applyFont="1"/>
    <xf numFmtId="0" fontId="27" fillId="28" borderId="20" xfId="0" applyFont="1" applyFill="1" applyBorder="1" applyAlignment="1">
      <alignment horizontal="center" vertical="center"/>
    </xf>
    <xf numFmtId="0" fontId="27" fillId="28" borderId="0" xfId="0" applyFont="1" applyFill="1" applyAlignment="1">
      <alignment horizontal="center" vertical="center"/>
    </xf>
    <xf numFmtId="14" fontId="27" fillId="28" borderId="20" xfId="0" applyNumberFormat="1" applyFont="1" applyFill="1" applyBorder="1" applyAlignment="1">
      <alignment horizontal="center" vertical="center" wrapText="1"/>
    </xf>
    <xf numFmtId="0" fontId="27" fillId="28" borderId="21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left"/>
    </xf>
    <xf numFmtId="165" fontId="27" fillId="0" borderId="22" xfId="41" applyFont="1" applyBorder="1"/>
    <xf numFmtId="165" fontId="27" fillId="0" borderId="24" xfId="41" applyFont="1" applyBorder="1"/>
    <xf numFmtId="0" fontId="27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165" fontId="27" fillId="0" borderId="25" xfId="41" applyFont="1" applyBorder="1"/>
    <xf numFmtId="165" fontId="27" fillId="0" borderId="26" xfId="41" applyFont="1" applyBorder="1"/>
    <xf numFmtId="0" fontId="28" fillId="0" borderId="22" xfId="0" applyFont="1" applyBorder="1" applyAlignment="1">
      <alignment horizontal="left" wrapText="1"/>
    </xf>
    <xf numFmtId="165" fontId="27" fillId="0" borderId="27" xfId="41" applyFont="1" applyBorder="1"/>
    <xf numFmtId="0" fontId="27" fillId="28" borderId="5" xfId="0" applyFont="1" applyFill="1" applyBorder="1" applyAlignment="1">
      <alignment horizontal="center" vertical="center"/>
    </xf>
    <xf numFmtId="14" fontId="27" fillId="28" borderId="5" xfId="0" applyNumberFormat="1" applyFont="1" applyFill="1" applyBorder="1" applyAlignment="1">
      <alignment horizontal="center" vertical="center" wrapText="1"/>
    </xf>
    <xf numFmtId="0" fontId="27" fillId="28" borderId="5" xfId="0" applyFont="1" applyFill="1" applyBorder="1" applyAlignment="1">
      <alignment horizontal="center" vertical="center" wrapText="1"/>
    </xf>
    <xf numFmtId="0" fontId="0" fillId="0" borderId="5" xfId="0" applyBorder="1"/>
    <xf numFmtId="165" fontId="0" fillId="0" borderId="5" xfId="41" applyFont="1" applyBorder="1"/>
    <xf numFmtId="43" fontId="0" fillId="0" borderId="5" xfId="0" applyNumberFormat="1" applyBorder="1"/>
    <xf numFmtId="0" fontId="1" fillId="0" borderId="5" xfId="0" applyFont="1" applyBorder="1" applyAlignment="1">
      <alignment wrapText="1"/>
    </xf>
    <xf numFmtId="43" fontId="0" fillId="0" borderId="0" xfId="0" applyNumberFormat="1"/>
    <xf numFmtId="165" fontId="2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10" fontId="3" fillId="0" borderId="28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horizontal="right" vertical="center"/>
    </xf>
    <xf numFmtId="10" fontId="3" fillId="0" borderId="5" xfId="0" applyNumberFormat="1" applyFont="1" applyBorder="1" applyAlignment="1">
      <alignment horizontal="right" vertical="center"/>
    </xf>
    <xf numFmtId="10" fontId="2" fillId="0" borderId="5" xfId="37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vertical="center"/>
    </xf>
    <xf numFmtId="10" fontId="3" fillId="0" borderId="5" xfId="37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165" fontId="2" fillId="0" borderId="46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5" fontId="3" fillId="0" borderId="43" xfId="0" applyNumberFormat="1" applyFont="1" applyBorder="1" applyAlignment="1">
      <alignment vertical="center"/>
    </xf>
    <xf numFmtId="10" fontId="3" fillId="0" borderId="29" xfId="37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172" fontId="3" fillId="0" borderId="45" xfId="0" applyNumberFormat="1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165" fontId="3" fillId="0" borderId="50" xfId="0" applyNumberFormat="1" applyFont="1" applyBorder="1" applyAlignment="1">
      <alignment vertical="center"/>
    </xf>
    <xf numFmtId="10" fontId="2" fillId="31" borderId="5" xfId="0" applyNumberFormat="1" applyFont="1" applyFill="1" applyBorder="1" applyAlignment="1">
      <alignment horizontal="right"/>
    </xf>
    <xf numFmtId="165" fontId="3" fillId="30" borderId="46" xfId="0" applyNumberFormat="1" applyFont="1" applyFill="1" applyBorder="1" applyAlignment="1">
      <alignment vertical="center"/>
    </xf>
    <xf numFmtId="43" fontId="3" fillId="30" borderId="46" xfId="0" applyNumberFormat="1" applyFont="1" applyFill="1" applyBorder="1" applyAlignment="1">
      <alignment horizontal="center" vertical="center"/>
    </xf>
    <xf numFmtId="165" fontId="3" fillId="30" borderId="46" xfId="0" applyNumberFormat="1" applyFont="1" applyFill="1" applyBorder="1" applyAlignment="1">
      <alignment horizontal="center" vertical="center"/>
    </xf>
    <xf numFmtId="10" fontId="0" fillId="0" borderId="0" xfId="0" applyNumberFormat="1"/>
    <xf numFmtId="165" fontId="2" fillId="32" borderId="43" xfId="0" applyNumberFormat="1" applyFont="1" applyFill="1" applyBorder="1" applyAlignment="1">
      <alignment vertical="center"/>
    </xf>
    <xf numFmtId="165" fontId="2" fillId="30" borderId="43" xfId="0" applyNumberFormat="1" applyFont="1" applyFill="1" applyBorder="1" applyAlignment="1">
      <alignment vertical="center"/>
    </xf>
    <xf numFmtId="44" fontId="0" fillId="0" borderId="0" xfId="0" applyNumberFormat="1"/>
    <xf numFmtId="44" fontId="2" fillId="0" borderId="0" xfId="0" applyNumberFormat="1" applyFont="1"/>
    <xf numFmtId="165" fontId="2" fillId="33" borderId="46" xfId="0" applyNumberFormat="1" applyFont="1" applyFill="1" applyBorder="1" applyAlignment="1">
      <alignment vertical="center"/>
    </xf>
    <xf numFmtId="165" fontId="2" fillId="33" borderId="43" xfId="0" applyNumberFormat="1" applyFont="1" applyFill="1" applyBorder="1" applyAlignment="1">
      <alignment vertical="center"/>
    </xf>
    <xf numFmtId="10" fontId="2" fillId="33" borderId="5" xfId="37" applyNumberFormat="1" applyFont="1" applyFill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0" fontId="33" fillId="32" borderId="5" xfId="37" applyNumberFormat="1" applyFont="1" applyFill="1" applyBorder="1" applyAlignment="1">
      <alignment horizontal="right" vertical="center"/>
    </xf>
    <xf numFmtId="0" fontId="2" fillId="34" borderId="43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right" vertical="center"/>
    </xf>
    <xf numFmtId="9" fontId="2" fillId="0" borderId="5" xfId="37" applyFont="1" applyBorder="1" applyAlignment="1">
      <alignment horizontal="right" vertical="center"/>
    </xf>
    <xf numFmtId="1" fontId="6" fillId="0" borderId="0" xfId="0" applyNumberFormat="1" applyFont="1"/>
    <xf numFmtId="173" fontId="0" fillId="0" borderId="0" xfId="0" applyNumberFormat="1"/>
    <xf numFmtId="10" fontId="32" fillId="0" borderId="5" xfId="37" applyNumberFormat="1" applyFont="1" applyBorder="1" applyAlignment="1">
      <alignment horizontal="right" vertical="center"/>
    </xf>
    <xf numFmtId="10" fontId="0" fillId="0" borderId="0" xfId="37" applyNumberFormat="1" applyFont="1"/>
    <xf numFmtId="174" fontId="0" fillId="0" borderId="0" xfId="0" applyNumberFormat="1"/>
    <xf numFmtId="10" fontId="6" fillId="0" borderId="0" xfId="0" applyNumberFormat="1" applyFont="1"/>
    <xf numFmtId="2" fontId="0" fillId="0" borderId="0" xfId="0" applyNumberFormat="1"/>
    <xf numFmtId="12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32" borderId="0" xfId="0" applyFont="1" applyFill="1"/>
    <xf numFmtId="0" fontId="0" fillId="32" borderId="0" xfId="0" applyFill="1" applyAlignment="1">
      <alignment horizontal="center" vertical="center"/>
    </xf>
    <xf numFmtId="4" fontId="0" fillId="32" borderId="0" xfId="0" applyNumberFormat="1" applyFill="1" applyAlignment="1">
      <alignment horizontal="center" vertical="center"/>
    </xf>
    <xf numFmtId="176" fontId="0" fillId="32" borderId="0" xfId="0" applyNumberFormat="1" applyFill="1" applyAlignment="1">
      <alignment horizontal="center" vertical="center"/>
    </xf>
    <xf numFmtId="0" fontId="38" fillId="0" borderId="0" xfId="0" applyFont="1"/>
    <xf numFmtId="0" fontId="38" fillId="0" borderId="58" xfId="0" applyFont="1" applyBorder="1" applyAlignment="1">
      <alignment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59" xfId="0" applyFont="1" applyBorder="1" applyAlignment="1">
      <alignment horizontal="center" vertical="center" wrapText="1"/>
    </xf>
    <xf numFmtId="0" fontId="24" fillId="0" borderId="0" xfId="0" applyFont="1"/>
    <xf numFmtId="44" fontId="24" fillId="0" borderId="0" xfId="0" applyNumberFormat="1" applyFont="1" applyAlignment="1">
      <alignment horizontal="right"/>
    </xf>
    <xf numFmtId="176" fontId="0" fillId="0" borderId="0" xfId="0" applyNumberFormat="1" applyAlignment="1">
      <alignment horizontal="center" vertical="center"/>
    </xf>
    <xf numFmtId="44" fontId="24" fillId="0" borderId="0" xfId="0" applyNumberFormat="1" applyFont="1" applyAlignment="1">
      <alignment horizontal="left"/>
    </xf>
    <xf numFmtId="177" fontId="38" fillId="0" borderId="0" xfId="0" applyNumberFormat="1" applyFont="1"/>
    <xf numFmtId="9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6" fontId="1" fillId="32" borderId="0" xfId="0" applyNumberFormat="1" applyFont="1" applyFill="1"/>
    <xf numFmtId="44" fontId="1" fillId="32" borderId="0" xfId="0" applyNumberFormat="1" applyFont="1" applyFill="1" applyAlignment="1">
      <alignment horizontal="left"/>
    </xf>
    <xf numFmtId="44" fontId="1" fillId="32" borderId="0" xfId="0" applyNumberFormat="1" applyFont="1" applyFill="1" applyAlignment="1">
      <alignment horizontal="right"/>
    </xf>
    <xf numFmtId="44" fontId="19" fillId="32" borderId="0" xfId="0" applyNumberFormat="1" applyFont="1" applyFill="1"/>
    <xf numFmtId="44" fontId="1" fillId="32" borderId="0" xfId="0" applyNumberFormat="1" applyFont="1" applyFill="1"/>
    <xf numFmtId="44" fontId="2" fillId="32" borderId="0" xfId="0" applyNumberFormat="1" applyFont="1" applyFill="1"/>
    <xf numFmtId="0" fontId="1" fillId="32" borderId="0" xfId="0" applyFont="1" applyFill="1" applyAlignment="1">
      <alignment vertical="center"/>
    </xf>
    <xf numFmtId="0" fontId="0" fillId="32" borderId="0" xfId="0" applyFill="1"/>
    <xf numFmtId="0" fontId="1" fillId="32" borderId="0" xfId="0" applyFont="1" applyFill="1" applyAlignment="1">
      <alignment horizontal="center" vertical="center"/>
    </xf>
    <xf numFmtId="176" fontId="1" fillId="32" borderId="0" xfId="0" applyNumberFormat="1" applyFont="1" applyFill="1"/>
    <xf numFmtId="4" fontId="1" fillId="32" borderId="0" xfId="0" applyNumberFormat="1" applyFont="1" applyFill="1" applyAlignment="1">
      <alignment horizontal="center" vertical="center"/>
    </xf>
    <xf numFmtId="44" fontId="1" fillId="32" borderId="0" xfId="0" applyNumberFormat="1" applyFont="1" applyFill="1" applyAlignment="1">
      <alignment horizontal="center" vertical="center"/>
    </xf>
    <xf numFmtId="4" fontId="1" fillId="32" borderId="0" xfId="0" applyNumberFormat="1" applyFont="1" applyFill="1"/>
    <xf numFmtId="10" fontId="21" fillId="32" borderId="0" xfId="0" applyNumberFormat="1" applyFont="1" applyFill="1"/>
    <xf numFmtId="177" fontId="38" fillId="0" borderId="0" xfId="0" applyNumberFormat="1" applyFont="1" applyAlignment="1">
      <alignment horizontal="center" vertical="center"/>
    </xf>
    <xf numFmtId="0" fontId="38" fillId="37" borderId="58" xfId="0" applyFont="1" applyFill="1" applyBorder="1" applyAlignment="1">
      <alignment horizontal="center" vertical="center" wrapText="1"/>
    </xf>
    <xf numFmtId="3" fontId="38" fillId="37" borderId="58" xfId="0" applyNumberFormat="1" applyFont="1" applyFill="1" applyBorder="1" applyAlignment="1">
      <alignment horizontal="center" vertical="center" wrapText="1"/>
    </xf>
    <xf numFmtId="175" fontId="38" fillId="0" borderId="0" xfId="0" applyNumberFormat="1" applyFont="1" applyAlignment="1">
      <alignment horizontal="center" vertical="center"/>
    </xf>
    <xf numFmtId="176" fontId="38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0" fontId="38" fillId="0" borderId="60" xfId="0" applyFont="1" applyBorder="1" applyAlignment="1">
      <alignment vertical="center" wrapText="1"/>
    </xf>
    <xf numFmtId="0" fontId="38" fillId="37" borderId="60" xfId="0" applyFont="1" applyFill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177" fontId="0" fillId="32" borderId="31" xfId="0" applyNumberFormat="1" applyFill="1" applyBorder="1" applyAlignment="1">
      <alignment horizontal="center" vertical="center"/>
    </xf>
    <xf numFmtId="44" fontId="24" fillId="32" borderId="0" xfId="0" applyNumberFormat="1" applyFont="1" applyFill="1" applyAlignment="1">
      <alignment horizontal="left"/>
    </xf>
    <xf numFmtId="44" fontId="24" fillId="32" borderId="0" xfId="0" applyNumberFormat="1" applyFont="1" applyFill="1" applyAlignment="1">
      <alignment horizontal="right"/>
    </xf>
    <xf numFmtId="44" fontId="40" fillId="32" borderId="0" xfId="0" applyNumberFormat="1" applyFont="1" applyFill="1"/>
    <xf numFmtId="0" fontId="24" fillId="32" borderId="0" xfId="0" applyFont="1" applyFill="1"/>
    <xf numFmtId="44" fontId="24" fillId="32" borderId="0" xfId="0" applyNumberFormat="1" applyFont="1" applyFill="1"/>
    <xf numFmtId="0" fontId="0" fillId="32" borderId="0" xfId="0" applyFill="1" applyAlignment="1">
      <alignment vertical="center"/>
    </xf>
    <xf numFmtId="44" fontId="0" fillId="32" borderId="0" xfId="0" applyNumberFormat="1" applyFill="1"/>
    <xf numFmtId="176" fontId="0" fillId="32" borderId="0" xfId="0" applyNumberFormat="1" applyFill="1"/>
    <xf numFmtId="44" fontId="24" fillId="32" borderId="0" xfId="0" applyNumberFormat="1" applyFont="1" applyFill="1" applyAlignment="1">
      <alignment horizontal="center" vertical="center"/>
    </xf>
    <xf numFmtId="4" fontId="0" fillId="32" borderId="0" xfId="0" applyNumberFormat="1" applyFill="1"/>
    <xf numFmtId="10" fontId="36" fillId="32" borderId="0" xfId="0" applyNumberFormat="1" applyFont="1" applyFill="1"/>
    <xf numFmtId="166" fontId="0" fillId="32" borderId="0" xfId="0" applyNumberFormat="1" applyFill="1"/>
    <xf numFmtId="0" fontId="45" fillId="0" borderId="0" xfId="0" applyFont="1"/>
    <xf numFmtId="0" fontId="41" fillId="29" borderId="5" xfId="0" applyFont="1" applyFill="1" applyBorder="1" applyAlignment="1">
      <alignment horizontal="center" vertical="center"/>
    </xf>
    <xf numFmtId="0" fontId="41" fillId="29" borderId="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176" fontId="45" fillId="0" borderId="5" xfId="0" applyNumberFormat="1" applyFont="1" applyBorder="1" applyAlignment="1">
      <alignment horizontal="center" vertical="center" wrapText="1"/>
    </xf>
    <xf numFmtId="176" fontId="45" fillId="0" borderId="5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2" fillId="34" borderId="43" xfId="0" applyNumberFormat="1" applyFont="1" applyFill="1" applyBorder="1" applyAlignment="1">
      <alignment horizontal="center" vertical="center"/>
    </xf>
    <xf numFmtId="10" fontId="32" fillId="34" borderId="5" xfId="0" applyNumberFormat="1" applyFont="1" applyFill="1" applyBorder="1" applyAlignment="1">
      <alignment horizontal="right" vertical="center"/>
    </xf>
    <xf numFmtId="0" fontId="45" fillId="30" borderId="0" xfId="0" applyFont="1" applyFill="1"/>
    <xf numFmtId="0" fontId="48" fillId="0" borderId="62" xfId="0" applyFont="1" applyBorder="1" applyAlignment="1">
      <alignment horizontal="justify" vertical="center" wrapText="1"/>
    </xf>
    <xf numFmtId="0" fontId="48" fillId="0" borderId="62" xfId="0" applyFont="1" applyBorder="1" applyAlignment="1">
      <alignment horizontal="center" vertical="center"/>
    </xf>
    <xf numFmtId="0" fontId="48" fillId="0" borderId="64" xfId="0" applyFont="1" applyBorder="1" applyAlignment="1">
      <alignment horizontal="justify" vertical="center" wrapText="1"/>
    </xf>
    <xf numFmtId="0" fontId="48" fillId="0" borderId="64" xfId="0" applyFont="1" applyBorder="1" applyAlignment="1">
      <alignment horizontal="center" vertical="center"/>
    </xf>
    <xf numFmtId="0" fontId="37" fillId="36" borderId="22" xfId="0" applyFont="1" applyFill="1" applyBorder="1" applyAlignment="1">
      <alignment horizontal="center" vertical="center" wrapText="1"/>
    </xf>
    <xf numFmtId="0" fontId="48" fillId="0" borderId="63" xfId="0" applyFont="1" applyBorder="1" applyAlignment="1">
      <alignment horizontal="justify" vertical="center" wrapText="1"/>
    </xf>
    <xf numFmtId="0" fontId="48" fillId="0" borderId="6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47" fillId="0" borderId="68" xfId="0" applyFont="1" applyBorder="1" applyAlignment="1">
      <alignment horizontal="center" vertical="center" wrapText="1"/>
    </xf>
    <xf numFmtId="177" fontId="42" fillId="35" borderId="22" xfId="0" applyNumberFormat="1" applyFont="1" applyFill="1" applyBorder="1" applyAlignment="1">
      <alignment horizontal="center" vertical="center"/>
    </xf>
    <xf numFmtId="4" fontId="47" fillId="37" borderId="64" xfId="0" applyNumberFormat="1" applyFont="1" applyFill="1" applyBorder="1" applyAlignment="1">
      <alignment horizontal="center" vertical="center"/>
    </xf>
    <xf numFmtId="4" fontId="47" fillId="0" borderId="66" xfId="0" applyNumberFormat="1" applyFont="1" applyBorder="1" applyAlignment="1">
      <alignment horizontal="center" vertical="center"/>
    </xf>
    <xf numFmtId="178" fontId="47" fillId="0" borderId="6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9" fillId="29" borderId="22" xfId="0" applyNumberFormat="1" applyFont="1" applyFill="1" applyBorder="1" applyAlignment="1">
      <alignment horizontal="center" wrapText="1"/>
    </xf>
    <xf numFmtId="0" fontId="37" fillId="30" borderId="22" xfId="0" applyFont="1" applyFill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wrapText="1"/>
    </xf>
    <xf numFmtId="177" fontId="0" fillId="32" borderId="75" xfId="0" applyNumberForma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177" fontId="0" fillId="32" borderId="77" xfId="0" applyNumberFormat="1" applyFill="1" applyBorder="1" applyAlignment="1">
      <alignment horizontal="center" vertical="center"/>
    </xf>
    <xf numFmtId="0" fontId="38" fillId="0" borderId="78" xfId="0" applyFont="1" applyBorder="1" applyAlignment="1">
      <alignment horizontal="center" vertical="center" wrapText="1"/>
    </xf>
    <xf numFmtId="0" fontId="38" fillId="0" borderId="79" xfId="0" applyFont="1" applyBorder="1" applyAlignment="1">
      <alignment vertical="center" wrapText="1"/>
    </xf>
    <xf numFmtId="0" fontId="38" fillId="37" borderId="79" xfId="0" applyFont="1" applyFill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center" wrapText="1"/>
    </xf>
    <xf numFmtId="177" fontId="0" fillId="32" borderId="81" xfId="0" applyNumberFormat="1" applyFill="1" applyBorder="1" applyAlignment="1">
      <alignment horizontal="center" vertical="center"/>
    </xf>
    <xf numFmtId="177" fontId="0" fillId="32" borderId="82" xfId="0" applyNumberFormat="1" applyFill="1" applyBorder="1" applyAlignment="1">
      <alignment horizontal="center" vertical="center"/>
    </xf>
    <xf numFmtId="0" fontId="38" fillId="0" borderId="58" xfId="0" applyFont="1" applyBorder="1" applyAlignment="1">
      <alignment horizontal="justify" vertical="distributed" wrapText="1"/>
    </xf>
    <xf numFmtId="0" fontId="4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5" fillId="0" borderId="29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38" borderId="18" xfId="0" applyFont="1" applyFill="1" applyBorder="1" applyAlignment="1">
      <alignment horizontal="center" vertical="center" wrapText="1"/>
    </xf>
    <xf numFmtId="0" fontId="44" fillId="38" borderId="30" xfId="0" applyFont="1" applyFill="1" applyBorder="1" applyAlignment="1">
      <alignment horizontal="center" vertical="center" wrapText="1"/>
    </xf>
    <xf numFmtId="0" fontId="44" fillId="38" borderId="28" xfId="0" applyFont="1" applyFill="1" applyBorder="1" applyAlignment="1">
      <alignment horizontal="center" vertical="center" wrapText="1"/>
    </xf>
    <xf numFmtId="0" fontId="44" fillId="38" borderId="49" xfId="0" applyFont="1" applyFill="1" applyBorder="1" applyAlignment="1">
      <alignment horizontal="center" vertical="center" wrapText="1"/>
    </xf>
    <xf numFmtId="0" fontId="44" fillId="38" borderId="3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30" borderId="39" xfId="0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horizontal="center" vertical="center"/>
    </xf>
    <xf numFmtId="0" fontId="3" fillId="3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3" fillId="30" borderId="42" xfId="0" applyFont="1" applyFill="1" applyBorder="1" applyAlignment="1">
      <alignment horizontal="center" vertical="center"/>
    </xf>
    <xf numFmtId="0" fontId="3" fillId="30" borderId="30" xfId="0" applyFont="1" applyFill="1" applyBorder="1" applyAlignment="1">
      <alignment horizontal="center" vertical="center"/>
    </xf>
    <xf numFmtId="0" fontId="3" fillId="30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4" borderId="42" xfId="0" applyFont="1" applyFill="1" applyBorder="1" applyAlignment="1">
      <alignment horizontal="center" vertical="center"/>
    </xf>
    <xf numFmtId="0" fontId="2" fillId="34" borderId="28" xfId="0" applyFont="1" applyFill="1" applyBorder="1" applyAlignment="1">
      <alignment horizontal="center" vertical="center"/>
    </xf>
    <xf numFmtId="0" fontId="2" fillId="34" borderId="5" xfId="0" applyFont="1" applyFill="1" applyBorder="1" applyAlignment="1">
      <alignment horizontal="center" vertical="center"/>
    </xf>
    <xf numFmtId="0" fontId="2" fillId="34" borderId="46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5" xfId="42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43" fontId="3" fillId="0" borderId="56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1" fillId="27" borderId="18" xfId="35" applyFont="1" applyFill="1" applyBorder="1" applyAlignment="1">
      <alignment horizontal="center" vertical="center" wrapText="1"/>
    </xf>
    <xf numFmtId="0" fontId="21" fillId="27" borderId="30" xfId="35" applyFont="1" applyFill="1" applyBorder="1" applyAlignment="1">
      <alignment horizontal="center" vertical="center" wrapText="1"/>
    </xf>
    <xf numFmtId="0" fontId="16" fillId="29" borderId="34" xfId="35" applyFont="1" applyFill="1" applyBorder="1" applyAlignment="1">
      <alignment horizontal="center"/>
    </xf>
    <xf numFmtId="0" fontId="16" fillId="29" borderId="29" xfId="35" applyFont="1" applyFill="1" applyBorder="1" applyAlignment="1">
      <alignment horizontal="center"/>
    </xf>
    <xf numFmtId="0" fontId="16" fillId="29" borderId="32" xfId="35" applyFont="1" applyFill="1" applyBorder="1" applyAlignment="1">
      <alignment horizontal="center"/>
    </xf>
    <xf numFmtId="0" fontId="29" fillId="0" borderId="6" xfId="35" applyFont="1" applyBorder="1" applyAlignment="1">
      <alignment horizontal="center" wrapText="1"/>
    </xf>
    <xf numFmtId="0" fontId="29" fillId="0" borderId="0" xfId="35" applyFont="1" applyAlignment="1">
      <alignment horizontal="center" wrapText="1"/>
    </xf>
    <xf numFmtId="0" fontId="29" fillId="0" borderId="7" xfId="35" applyFont="1" applyBorder="1" applyAlignment="1">
      <alignment horizontal="center" wrapText="1"/>
    </xf>
    <xf numFmtId="0" fontId="17" fillId="0" borderId="6" xfId="35" applyFont="1" applyBorder="1" applyAlignment="1">
      <alignment horizontal="center" vertical="center"/>
    </xf>
    <xf numFmtId="0" fontId="17" fillId="0" borderId="0" xfId="35" applyFont="1" applyAlignment="1">
      <alignment horizontal="center" vertical="center"/>
    </xf>
    <xf numFmtId="0" fontId="17" fillId="0" borderId="7" xfId="35" applyFont="1" applyBorder="1" applyAlignment="1">
      <alignment horizontal="center" vertical="center"/>
    </xf>
    <xf numFmtId="0" fontId="19" fillId="23" borderId="13" xfId="35" applyFont="1" applyFill="1" applyBorder="1" applyAlignment="1">
      <alignment horizontal="center"/>
    </xf>
    <xf numFmtId="0" fontId="19" fillId="23" borderId="14" xfId="35" applyFont="1" applyFill="1" applyBorder="1" applyAlignment="1">
      <alignment horizontal="center"/>
    </xf>
    <xf numFmtId="0" fontId="19" fillId="23" borderId="35" xfId="35" applyFont="1" applyFill="1" applyBorder="1" applyAlignment="1">
      <alignment horizontal="center"/>
    </xf>
    <xf numFmtId="0" fontId="1" fillId="0" borderId="0" xfId="35" applyAlignment="1">
      <alignment horizontal="center" wrapText="1"/>
    </xf>
    <xf numFmtId="0" fontId="1" fillId="0" borderId="0" xfId="35"/>
    <xf numFmtId="0" fontId="21" fillId="26" borderId="18" xfId="35" applyFont="1" applyFill="1" applyBorder="1" applyAlignment="1">
      <alignment horizontal="center" vertical="center" wrapText="1"/>
    </xf>
    <xf numFmtId="0" fontId="21" fillId="26" borderId="30" xfId="35" applyFont="1" applyFill="1" applyBorder="1" applyAlignment="1">
      <alignment horizontal="center" vertical="center" wrapText="1"/>
    </xf>
    <xf numFmtId="0" fontId="21" fillId="26" borderId="28" xfId="35" applyFont="1" applyFill="1" applyBorder="1" applyAlignment="1">
      <alignment horizontal="center" vertical="center" wrapText="1"/>
    </xf>
    <xf numFmtId="0" fontId="30" fillId="28" borderId="36" xfId="0" applyFont="1" applyFill="1" applyBorder="1" applyAlignment="1">
      <alignment horizontal="center" vertical="center"/>
    </xf>
    <xf numFmtId="0" fontId="30" fillId="28" borderId="37" xfId="0" applyFont="1" applyFill="1" applyBorder="1" applyAlignment="1">
      <alignment horizontal="center" vertical="center"/>
    </xf>
    <xf numFmtId="0" fontId="30" fillId="28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0" borderId="22" xfId="0" applyFont="1" applyBorder="1" applyAlignment="1">
      <alignment horizontal="right" vertical="center" indent="1"/>
    </xf>
    <xf numFmtId="0" fontId="39" fillId="29" borderId="22" xfId="0" applyFont="1" applyFill="1" applyBorder="1" applyAlignment="1">
      <alignment horizont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indent="1"/>
    </xf>
    <xf numFmtId="0" fontId="39" fillId="0" borderId="69" xfId="0" applyFont="1" applyBorder="1" applyAlignment="1">
      <alignment horizontal="right" vertical="center" indent="1"/>
    </xf>
    <xf numFmtId="0" fontId="39" fillId="0" borderId="24" xfId="0" applyFont="1" applyBorder="1" applyAlignment="1">
      <alignment horizontal="right" vertical="center" indent="1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43" fillId="0" borderId="85" xfId="0" applyFont="1" applyBorder="1" applyAlignment="1">
      <alignment horizontal="center" vertical="center" wrapText="1"/>
    </xf>
    <xf numFmtId="0" fontId="39" fillId="29" borderId="22" xfId="0" applyFont="1" applyFill="1" applyBorder="1" applyAlignment="1">
      <alignment horizontal="center" vertical="center" wrapText="1"/>
    </xf>
    <xf numFmtId="0" fontId="38" fillId="0" borderId="70" xfId="0" applyFont="1" applyBorder="1" applyAlignment="1">
      <alignment horizontal="right" vertical="center" indent="1"/>
    </xf>
    <xf numFmtId="0" fontId="38" fillId="0" borderId="71" xfId="0" applyFont="1" applyBorder="1" applyAlignment="1">
      <alignment horizontal="center"/>
    </xf>
    <xf numFmtId="0" fontId="38" fillId="0" borderId="72" xfId="0" applyFont="1" applyBorder="1" applyAlignment="1">
      <alignment horizontal="center"/>
    </xf>
    <xf numFmtId="0" fontId="38" fillId="0" borderId="73" xfId="0" applyFont="1" applyBorder="1" applyAlignment="1">
      <alignment horizontal="center"/>
    </xf>
    <xf numFmtId="0" fontId="39" fillId="0" borderId="71" xfId="0" applyFont="1" applyBorder="1" applyAlignment="1">
      <alignment horizontal="center" wrapText="1"/>
    </xf>
    <xf numFmtId="0" fontId="39" fillId="0" borderId="72" xfId="0" applyFont="1" applyBorder="1" applyAlignment="1">
      <alignment horizontal="center" wrapText="1"/>
    </xf>
    <xf numFmtId="0" fontId="39" fillId="0" borderId="73" xfId="0" applyFont="1" applyBorder="1" applyAlignment="1">
      <alignment horizontal="center" wrapText="1"/>
    </xf>
    <xf numFmtId="4" fontId="39" fillId="29" borderId="22" xfId="0" applyNumberFormat="1" applyFont="1" applyFill="1" applyBorder="1" applyAlignment="1">
      <alignment horizontal="right" vertical="center" wrapText="1" indent="3"/>
    </xf>
    <xf numFmtId="0" fontId="4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1" fillId="0" borderId="5" xfId="0" applyFont="1" applyBorder="1" applyAlignment="1">
      <alignment horizontal="center" vertical="center"/>
    </xf>
    <xf numFmtId="0" fontId="44" fillId="38" borderId="18" xfId="0" applyFont="1" applyFill="1" applyBorder="1" applyAlignment="1">
      <alignment horizontal="center" vertical="center"/>
    </xf>
    <xf numFmtId="0" fontId="44" fillId="38" borderId="30" xfId="0" applyFont="1" applyFill="1" applyBorder="1" applyAlignment="1">
      <alignment horizontal="center" vertical="center"/>
    </xf>
    <xf numFmtId="0" fontId="44" fillId="38" borderId="28" xfId="0" applyFont="1" applyFill="1" applyBorder="1" applyAlignment="1">
      <alignment horizontal="center" vertical="center"/>
    </xf>
  </cellXfs>
  <cellStyles count="43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elda de comprobación" xfId="20"/>
    <cellStyle name="Celda vinculada" xfId="21"/>
    <cellStyle name="Comma [0]_Administracion del Programa" xfId="22"/>
    <cellStyle name="Comma_Administracion del Programa" xfId="23"/>
    <cellStyle name="Currency [0]_Administracion del Programa" xfId="24"/>
    <cellStyle name="Currency_Administracion del Programa" xfId="25"/>
    <cellStyle name="Encabezado 4" xfId="26"/>
    <cellStyle name="Énfasis1" xfId="27"/>
    <cellStyle name="Énfasis2" xfId="28"/>
    <cellStyle name="Énfasis3" xfId="29"/>
    <cellStyle name="Énfasis4" xfId="30"/>
    <cellStyle name="Énfasis5" xfId="31"/>
    <cellStyle name="Énfasis6" xfId="32"/>
    <cellStyle name="Followed Hyperlink_Componente 1" xfId="33"/>
    <cellStyle name="Incorrecto" xfId="34"/>
    <cellStyle name="Moeda" xfId="42" builtinId="4"/>
    <cellStyle name="Normal" xfId="0" builtinId="0"/>
    <cellStyle name="Normal 2" xfId="35"/>
    <cellStyle name="Notas" xfId="36"/>
    <cellStyle name="Porcentagem" xfId="37" builtinId="5"/>
    <cellStyle name="Salida" xfId="38"/>
    <cellStyle name="Separador de milhares 2" xfId="39"/>
    <cellStyle name="Texto de advertencia" xfId="40"/>
    <cellStyle name="Vírgula" xfId="4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5DDA8"/>
      <color rgb="FFE5FA7A"/>
      <color rgb="FFFDA5AD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35409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0598D6C-DED7-41F1-8CE9-E8476093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0"/>
          <a:ext cx="873609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0</xdr:row>
      <xdr:rowOff>19050</xdr:rowOff>
    </xdr:from>
    <xdr:to>
      <xdr:col>2</xdr:col>
      <xdr:colOff>292584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873609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3114675</xdr:colOff>
      <xdr:row>0</xdr:row>
      <xdr:rowOff>0</xdr:rowOff>
    </xdr:from>
    <xdr:to>
      <xdr:col>2</xdr:col>
      <xdr:colOff>266700</xdr:colOff>
      <xdr:row>4</xdr:row>
      <xdr:rowOff>30866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733425" cy="67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PRE&#199;OS%20Custos%20Ind%20-%20Lucros%20-%20Mat.%20Equip(1)%20-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 Ind. - Lucros"/>
      <sheetName val="Material"/>
      <sheetName val="Equipamento"/>
      <sheetName val="Equipe tecnica PDSA II_Adm"/>
      <sheetName val="Plan3"/>
    </sheetNames>
    <sheetDataSet>
      <sheetData sheetId="0"/>
      <sheetData sheetId="1">
        <row r="9">
          <cell r="O9">
            <v>10.798333333333332</v>
          </cell>
        </row>
        <row r="10">
          <cell r="O10">
            <v>80.432000000000002</v>
          </cell>
        </row>
        <row r="11">
          <cell r="O11">
            <v>82.679999999999993</v>
          </cell>
        </row>
        <row r="12">
          <cell r="O12">
            <v>34.788333333333334</v>
          </cell>
        </row>
        <row r="13">
          <cell r="O13">
            <v>44.411833333333334</v>
          </cell>
        </row>
        <row r="14">
          <cell r="O14">
            <v>5.5073999999999996</v>
          </cell>
        </row>
        <row r="15">
          <cell r="O15">
            <v>3.3193000000000006</v>
          </cell>
        </row>
        <row r="16">
          <cell r="O16">
            <v>169.20000000000002</v>
          </cell>
        </row>
        <row r="17">
          <cell r="O17">
            <v>46.575000000000003</v>
          </cell>
        </row>
        <row r="18">
          <cell r="O18">
            <v>5.4303749999999997</v>
          </cell>
        </row>
        <row r="19">
          <cell r="O19">
            <v>16.446249999999999</v>
          </cell>
        </row>
        <row r="20">
          <cell r="O20">
            <v>9.3512500000000003</v>
          </cell>
        </row>
        <row r="21">
          <cell r="O21">
            <v>58.875</v>
          </cell>
        </row>
        <row r="22">
          <cell r="O22">
            <v>66.085999999999999</v>
          </cell>
        </row>
        <row r="23">
          <cell r="O23">
            <v>103.89999999999999</v>
          </cell>
        </row>
        <row r="24">
          <cell r="O24">
            <v>11.151666666666666</v>
          </cell>
        </row>
        <row r="25">
          <cell r="O25">
            <v>23.456250000000001</v>
          </cell>
        </row>
        <row r="26">
          <cell r="O26">
            <v>80.122500000000002</v>
          </cell>
        </row>
        <row r="27">
          <cell r="O27">
            <v>111.375</v>
          </cell>
        </row>
        <row r="28">
          <cell r="O28">
            <v>47.892500000000005</v>
          </cell>
        </row>
        <row r="29">
          <cell r="O29">
            <v>151.70400000000001</v>
          </cell>
        </row>
        <row r="30">
          <cell r="O30">
            <v>17.423999999999999</v>
          </cell>
        </row>
        <row r="31">
          <cell r="O31">
            <v>13.196</v>
          </cell>
        </row>
        <row r="32">
          <cell r="O32">
            <v>112.91983333333333</v>
          </cell>
        </row>
        <row r="33">
          <cell r="O33">
            <v>25.385400000000001</v>
          </cell>
        </row>
        <row r="34">
          <cell r="O34">
            <v>17.193750000000001</v>
          </cell>
        </row>
        <row r="35">
          <cell r="O35">
            <v>36.384999999999998</v>
          </cell>
        </row>
        <row r="36">
          <cell r="O36">
            <v>48.991666666666667</v>
          </cell>
        </row>
        <row r="37">
          <cell r="O37">
            <v>10.16625</v>
          </cell>
        </row>
        <row r="38">
          <cell r="O38">
            <v>16.839299999999998</v>
          </cell>
        </row>
        <row r="39">
          <cell r="O39">
            <v>18.36</v>
          </cell>
        </row>
        <row r="40">
          <cell r="O40">
            <v>28.602</v>
          </cell>
        </row>
        <row r="41">
          <cell r="O41">
            <v>17.982833333333332</v>
          </cell>
        </row>
        <row r="42">
          <cell r="O42">
            <v>32.30533333333333</v>
          </cell>
        </row>
        <row r="43">
          <cell r="O43">
            <v>44.215166666666669</v>
          </cell>
        </row>
        <row r="44">
          <cell r="O44">
            <v>48.366250000000001</v>
          </cell>
        </row>
        <row r="45">
          <cell r="O45">
            <v>27.14833333333333</v>
          </cell>
        </row>
        <row r="46">
          <cell r="O46">
            <v>38.152500000000003</v>
          </cell>
        </row>
      </sheetData>
      <sheetData sheetId="2">
        <row r="8">
          <cell r="O8">
            <v>52.196666666666665</v>
          </cell>
        </row>
        <row r="9">
          <cell r="O9">
            <v>48.143333333333338</v>
          </cell>
        </row>
        <row r="10">
          <cell r="O10">
            <v>52.199999999999996</v>
          </cell>
        </row>
        <row r="11">
          <cell r="O11">
            <v>343.55666666666667</v>
          </cell>
        </row>
        <row r="12">
          <cell r="O12">
            <v>191.93333333333331</v>
          </cell>
        </row>
        <row r="13">
          <cell r="O13">
            <v>30.433333333333337</v>
          </cell>
        </row>
        <row r="14">
          <cell r="O14">
            <v>38.835000000000001</v>
          </cell>
        </row>
        <row r="15">
          <cell r="O15">
            <v>31.166666666666668</v>
          </cell>
        </row>
        <row r="16">
          <cell r="O16">
            <v>291.17250000000001</v>
          </cell>
        </row>
        <row r="17">
          <cell r="O17">
            <v>1281.8666666666666</v>
          </cell>
        </row>
        <row r="18">
          <cell r="O18">
            <v>526.64333333333332</v>
          </cell>
        </row>
        <row r="19">
          <cell r="O19">
            <v>769.45</v>
          </cell>
        </row>
        <row r="20">
          <cell r="O20">
            <v>7099.9425000000001</v>
          </cell>
        </row>
        <row r="21">
          <cell r="O21">
            <v>33.32</v>
          </cell>
        </row>
        <row r="22">
          <cell r="O22">
            <v>446.19000000000005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4"/>
  <sheetViews>
    <sheetView tabSelected="1" workbookViewId="0">
      <selection activeCell="B8" sqref="B8"/>
    </sheetView>
  </sheetViews>
  <sheetFormatPr defaultRowHeight="16.5" x14ac:dyDescent="0.3"/>
  <cols>
    <col min="1" max="1" width="7.7109375" style="228" customWidth="1"/>
    <col min="2" max="2" width="37.7109375" style="225" customWidth="1"/>
    <col min="3" max="3" width="18.7109375" style="228" customWidth="1"/>
    <col min="4" max="5" width="12.7109375" style="228" customWidth="1"/>
    <col min="6" max="6" width="12.5703125" style="228" customWidth="1"/>
    <col min="7" max="10" width="12.7109375" style="228" customWidth="1"/>
    <col min="11" max="12" width="18.7109375" style="234" customWidth="1"/>
    <col min="13" max="16384" width="9.140625" style="225"/>
  </cols>
  <sheetData>
    <row r="4" spans="1:12" x14ac:dyDescent="0.3">
      <c r="D4" s="267" t="s">
        <v>347</v>
      </c>
      <c r="E4" s="268"/>
      <c r="F4" s="268"/>
      <c r="G4" s="268"/>
      <c r="H4" s="268"/>
    </row>
    <row r="5" spans="1:12" ht="15.75" customHeight="1" x14ac:dyDescent="0.3">
      <c r="A5" s="276" t="s">
        <v>254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37"/>
    </row>
    <row r="6" spans="1:12" s="228" customFormat="1" ht="82.5" x14ac:dyDescent="0.3">
      <c r="A6" s="226" t="s">
        <v>224</v>
      </c>
      <c r="B6" s="226" t="s">
        <v>225</v>
      </c>
      <c r="C6" s="227" t="s">
        <v>226</v>
      </c>
      <c r="D6" s="227" t="s">
        <v>228</v>
      </c>
      <c r="E6" s="227" t="s">
        <v>339</v>
      </c>
      <c r="F6" s="227" t="s">
        <v>340</v>
      </c>
      <c r="G6" s="227" t="s">
        <v>341</v>
      </c>
      <c r="H6" s="227" t="s">
        <v>342</v>
      </c>
      <c r="I6" s="227" t="s">
        <v>343</v>
      </c>
      <c r="J6" s="227" t="s">
        <v>344</v>
      </c>
      <c r="K6" s="227" t="s">
        <v>345</v>
      </c>
      <c r="L6" s="227" t="s">
        <v>346</v>
      </c>
    </row>
    <row r="7" spans="1:12" ht="24.95" customHeight="1" x14ac:dyDescent="0.3">
      <c r="A7" s="402" t="s">
        <v>251</v>
      </c>
      <c r="B7" s="403"/>
      <c r="C7" s="403"/>
      <c r="D7" s="403"/>
      <c r="E7" s="403"/>
      <c r="F7" s="403"/>
      <c r="G7" s="403"/>
      <c r="H7" s="403"/>
      <c r="I7" s="403"/>
      <c r="J7" s="403"/>
      <c r="K7" s="404"/>
      <c r="L7" s="237"/>
    </row>
    <row r="8" spans="1:12" ht="33" x14ac:dyDescent="0.3">
      <c r="A8" s="229">
        <v>1</v>
      </c>
      <c r="B8" s="230" t="s">
        <v>331</v>
      </c>
      <c r="C8" s="229" t="s">
        <v>255</v>
      </c>
      <c r="D8" s="229">
        <v>1</v>
      </c>
      <c r="E8" s="229">
        <v>20</v>
      </c>
      <c r="F8" s="229">
        <v>30</v>
      </c>
      <c r="G8" s="229">
        <v>12</v>
      </c>
      <c r="H8" s="231">
        <f>+'Servente de Limpeza'!K16</f>
        <v>1426.36</v>
      </c>
      <c r="I8" s="231">
        <f>+'Servente de Limpeza'!K129</f>
        <v>4675.5107967149197</v>
      </c>
      <c r="J8" s="231">
        <f>+G8*I8</f>
        <v>56106.129560579036</v>
      </c>
      <c r="K8" s="232">
        <f>+E8*J8</f>
        <v>1122122.5912115807</v>
      </c>
      <c r="L8" s="232">
        <f>+J8*F8</f>
        <v>1683183.886817371</v>
      </c>
    </row>
    <row r="9" spans="1:12" ht="33" x14ac:dyDescent="0.3">
      <c r="A9" s="229">
        <v>2</v>
      </c>
      <c r="B9" s="230" t="s">
        <v>332</v>
      </c>
      <c r="C9" s="229" t="s">
        <v>255</v>
      </c>
      <c r="D9" s="229">
        <v>1</v>
      </c>
      <c r="E9" s="229">
        <v>1</v>
      </c>
      <c r="F9" s="229">
        <v>2</v>
      </c>
      <c r="G9" s="229">
        <v>12</v>
      </c>
      <c r="H9" s="231">
        <f>+'Encarregado Geral '!K16</f>
        <v>2093.9899999999998</v>
      </c>
      <c r="I9" s="231">
        <f>+'Encarregado Geral '!K129</f>
        <v>6214.8294386009666</v>
      </c>
      <c r="J9" s="231">
        <f t="shared" ref="J9:J11" si="0">+G9*I9</f>
        <v>74577.953263211602</v>
      </c>
      <c r="K9" s="232">
        <f t="shared" ref="K9:K17" si="1">+E9*J9</f>
        <v>74577.953263211602</v>
      </c>
      <c r="L9" s="232">
        <f t="shared" ref="L9:L17" si="2">+J9*F9</f>
        <v>149155.9065264232</v>
      </c>
    </row>
    <row r="10" spans="1:12" ht="33" x14ac:dyDescent="0.3">
      <c r="A10" s="229">
        <v>3</v>
      </c>
      <c r="B10" s="230" t="s">
        <v>333</v>
      </c>
      <c r="C10" s="229" t="s">
        <v>255</v>
      </c>
      <c r="D10" s="229">
        <v>1</v>
      </c>
      <c r="E10" s="229">
        <v>1</v>
      </c>
      <c r="F10" s="229">
        <v>2</v>
      </c>
      <c r="G10" s="229">
        <v>12</v>
      </c>
      <c r="H10" s="231">
        <f>+Jardineiro!K16</f>
        <v>1526.46</v>
      </c>
      <c r="I10" s="231">
        <f>+Jardineiro!K129</f>
        <v>4268.7260558509515</v>
      </c>
      <c r="J10" s="231">
        <f t="shared" si="0"/>
        <v>51224.712670211418</v>
      </c>
      <c r="K10" s="232">
        <f t="shared" si="1"/>
        <v>51224.712670211418</v>
      </c>
      <c r="L10" s="232">
        <f t="shared" si="2"/>
        <v>102449.42534042284</v>
      </c>
    </row>
    <row r="11" spans="1:12" ht="33" x14ac:dyDescent="0.3">
      <c r="A11" s="229">
        <v>4</v>
      </c>
      <c r="B11" s="230" t="s">
        <v>334</v>
      </c>
      <c r="C11" s="229" t="s">
        <v>255</v>
      </c>
      <c r="D11" s="229">
        <v>1</v>
      </c>
      <c r="E11" s="229">
        <v>3</v>
      </c>
      <c r="F11" s="229">
        <v>6</v>
      </c>
      <c r="G11" s="229">
        <v>12</v>
      </c>
      <c r="H11" s="231">
        <f>+'Aux. de Serviços Diversos'!K16</f>
        <v>1456.5</v>
      </c>
      <c r="I11" s="231">
        <f>+'Aux. de Serviços Diversos'!K129</f>
        <v>4107.4230404287146</v>
      </c>
      <c r="J11" s="231">
        <f t="shared" si="0"/>
        <v>49289.076485144571</v>
      </c>
      <c r="K11" s="232">
        <f t="shared" si="1"/>
        <v>147867.22945543373</v>
      </c>
      <c r="L11" s="232">
        <f t="shared" si="2"/>
        <v>295734.45891086746</v>
      </c>
    </row>
    <row r="12" spans="1:12" ht="24.95" customHeight="1" x14ac:dyDescent="0.3">
      <c r="A12" s="273" t="s">
        <v>252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5"/>
      <c r="L12" s="237"/>
    </row>
    <row r="13" spans="1:12" ht="33" x14ac:dyDescent="0.3">
      <c r="A13" s="229">
        <v>5</v>
      </c>
      <c r="B13" s="230" t="s">
        <v>335</v>
      </c>
      <c r="C13" s="229" t="s">
        <v>255</v>
      </c>
      <c r="D13" s="229">
        <v>1</v>
      </c>
      <c r="E13" s="229">
        <v>2</v>
      </c>
      <c r="F13" s="229">
        <v>4</v>
      </c>
      <c r="G13" s="229">
        <v>12</v>
      </c>
      <c r="H13" s="231">
        <f>+'Serviço de Copeiragem'!K16</f>
        <v>1426.36</v>
      </c>
      <c r="I13" s="231">
        <f>+'Serviço de Copeiragem'!K129</f>
        <v>4037.9308608285683</v>
      </c>
      <c r="J13" s="231">
        <f>+G13*I13</f>
        <v>48455.170329942819</v>
      </c>
      <c r="K13" s="232">
        <f t="shared" si="1"/>
        <v>96910.340659885638</v>
      </c>
      <c r="L13" s="232">
        <f t="shared" si="2"/>
        <v>193820.68131977128</v>
      </c>
    </row>
    <row r="14" spans="1:12" ht="33" x14ac:dyDescent="0.3">
      <c r="A14" s="229">
        <v>6</v>
      </c>
      <c r="B14" s="230" t="s">
        <v>336</v>
      </c>
      <c r="C14" s="229" t="s">
        <v>255</v>
      </c>
      <c r="D14" s="229">
        <v>1</v>
      </c>
      <c r="E14" s="229">
        <v>1</v>
      </c>
      <c r="F14" s="229">
        <v>3</v>
      </c>
      <c r="G14" s="229">
        <v>12</v>
      </c>
      <c r="H14" s="231">
        <f>+Garçom!K16</f>
        <v>1534.7</v>
      </c>
      <c r="I14" s="231">
        <f>+Garçom!K129</f>
        <v>4157.6268046278838</v>
      </c>
      <c r="J14" s="231">
        <f>+G14*I14</f>
        <v>49891.521655534605</v>
      </c>
      <c r="K14" s="232">
        <f t="shared" si="1"/>
        <v>49891.521655534605</v>
      </c>
      <c r="L14" s="232">
        <f t="shared" si="2"/>
        <v>149674.56496660382</v>
      </c>
    </row>
    <row r="15" spans="1:12" ht="24.95" customHeight="1" x14ac:dyDescent="0.3">
      <c r="A15" s="273" t="s">
        <v>253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5"/>
      <c r="L15" s="237"/>
    </row>
    <row r="16" spans="1:12" ht="33" x14ac:dyDescent="0.3">
      <c r="A16" s="229">
        <v>7</v>
      </c>
      <c r="B16" s="230" t="s">
        <v>337</v>
      </c>
      <c r="C16" s="229" t="s">
        <v>255</v>
      </c>
      <c r="D16" s="229">
        <v>1</v>
      </c>
      <c r="E16" s="229">
        <v>2</v>
      </c>
      <c r="F16" s="229">
        <v>6</v>
      </c>
      <c r="G16" s="229">
        <v>12</v>
      </c>
      <c r="H16" s="231">
        <f>+'Recepcionista Nível I'!K16</f>
        <v>1521.31</v>
      </c>
      <c r="I16" s="231">
        <f>+'Recepcionista Nível I'!K129</f>
        <v>4256.8519773857633</v>
      </c>
      <c r="J16" s="231">
        <f>+G16*I16</f>
        <v>51082.223728629164</v>
      </c>
      <c r="K16" s="232">
        <f t="shared" si="1"/>
        <v>102164.44745725833</v>
      </c>
      <c r="L16" s="232">
        <f t="shared" si="2"/>
        <v>306493.34237177495</v>
      </c>
    </row>
    <row r="17" spans="1:12" ht="33" x14ac:dyDescent="0.3">
      <c r="A17" s="229">
        <v>8</v>
      </c>
      <c r="B17" s="230" t="s">
        <v>338</v>
      </c>
      <c r="C17" s="229" t="s">
        <v>255</v>
      </c>
      <c r="D17" s="229">
        <v>1</v>
      </c>
      <c r="E17" s="229">
        <v>2</v>
      </c>
      <c r="F17" s="229">
        <v>4</v>
      </c>
      <c r="G17" s="229">
        <v>12</v>
      </c>
      <c r="H17" s="231">
        <f>+'Auxiliar Administrativo'!K16</f>
        <v>1672.72</v>
      </c>
      <c r="I17" s="231">
        <f>+'Auxiliar Administrativo'!K129</f>
        <v>4605.9498842622761</v>
      </c>
      <c r="J17" s="231">
        <f>+G17*I17</f>
        <v>55271.398611147313</v>
      </c>
      <c r="K17" s="232">
        <f t="shared" si="1"/>
        <v>110542.79722229463</v>
      </c>
      <c r="L17" s="232">
        <f t="shared" si="2"/>
        <v>221085.59444458925</v>
      </c>
    </row>
    <row r="18" spans="1:12" ht="24.95" customHeight="1" x14ac:dyDescent="0.3">
      <c r="A18" s="401" t="s">
        <v>244</v>
      </c>
      <c r="B18" s="401"/>
      <c r="C18" s="401"/>
      <c r="D18" s="401"/>
      <c r="E18" s="401"/>
      <c r="F18" s="401"/>
      <c r="G18" s="401"/>
      <c r="H18" s="401"/>
      <c r="I18" s="401"/>
      <c r="J18" s="401"/>
      <c r="K18" s="233">
        <f>+K8+K9+K10+K11+K13+K14+K16+K17</f>
        <v>1755301.5935954107</v>
      </c>
      <c r="L18" s="233">
        <f>+L8+L9+L10+L11+L13+L14+L16+L17</f>
        <v>3101597.8606978236</v>
      </c>
    </row>
    <row r="19" spans="1:12" ht="24.95" customHeight="1" x14ac:dyDescent="0.3">
      <c r="J19" s="269" t="s">
        <v>358</v>
      </c>
      <c r="K19" s="270"/>
      <c r="L19" s="270"/>
    </row>
    <row r="20" spans="1:12" x14ac:dyDescent="0.3">
      <c r="A20" s="266"/>
      <c r="C20" s="266"/>
      <c r="D20" s="266"/>
      <c r="E20" s="266"/>
      <c r="F20" s="266"/>
      <c r="G20" s="266"/>
      <c r="H20" s="266"/>
      <c r="I20" s="266"/>
      <c r="J20" s="399"/>
      <c r="K20" s="400"/>
      <c r="L20" s="400"/>
    </row>
    <row r="21" spans="1:12" x14ac:dyDescent="0.3">
      <c r="A21" s="266"/>
      <c r="C21" s="266"/>
      <c r="D21" s="266"/>
      <c r="E21" s="266"/>
      <c r="F21" s="266"/>
      <c r="G21" s="266"/>
      <c r="H21" s="266"/>
      <c r="I21" s="266"/>
      <c r="J21" s="399"/>
      <c r="K21" s="400"/>
      <c r="L21" s="400"/>
    </row>
    <row r="22" spans="1:12" x14ac:dyDescent="0.3">
      <c r="A22" s="266"/>
      <c r="C22" s="266"/>
      <c r="D22" s="266"/>
      <c r="E22" s="266"/>
      <c r="F22" s="266"/>
      <c r="G22" s="266"/>
      <c r="H22" s="266"/>
      <c r="I22" s="266"/>
      <c r="J22" s="399"/>
      <c r="K22" s="400"/>
      <c r="L22" s="400"/>
    </row>
    <row r="23" spans="1:12" ht="14.25" customHeight="1" x14ac:dyDescent="0.3">
      <c r="D23" s="271" t="s">
        <v>359</v>
      </c>
      <c r="E23" s="272"/>
      <c r="F23" s="272"/>
    </row>
    <row r="24" spans="1:12" ht="12.75" customHeight="1" x14ac:dyDescent="0.3">
      <c r="C24" s="271" t="s">
        <v>360</v>
      </c>
      <c r="D24" s="272"/>
      <c r="E24" s="272"/>
      <c r="F24" s="272"/>
    </row>
  </sheetData>
  <mergeCells count="9">
    <mergeCell ref="D4:H4"/>
    <mergeCell ref="J19:L19"/>
    <mergeCell ref="D23:F23"/>
    <mergeCell ref="C24:F24"/>
    <mergeCell ref="A18:J18"/>
    <mergeCell ref="A15:K15"/>
    <mergeCell ref="A12:K12"/>
    <mergeCell ref="A7:K7"/>
    <mergeCell ref="A5:K5"/>
  </mergeCells>
  <pageMargins left="0.23622047244094491" right="0.23622047244094491" top="0.55118110236220474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45"/>
  <sheetViews>
    <sheetView showGridLines="0" topLeftCell="A4" zoomScaleNormal="100" zoomScaleSheetLayoutView="130" workbookViewId="0">
      <selection activeCell="K22" sqref="K22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227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351</v>
      </c>
      <c r="B13" s="311"/>
      <c r="C13" s="306" t="s">
        <v>91</v>
      </c>
      <c r="D13" s="306"/>
      <c r="E13" s="312">
        <v>30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1426.36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1426.36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118.86333333333332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172.58955999999998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291.45289333333329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291.45289333333329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1426.36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291.45289333333329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1717.8128933333332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343.5625786666667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42.945322333333337</v>
      </c>
    </row>
    <row r="38" spans="1:18" ht="24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103.06877359999999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25.767193399999996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17.178128933333333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10.30687736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3.4356257866666664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137.42503146666667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683.68953154666679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68.418400000000005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10.697699999999999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395.51609999999999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291.45289333333329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683.68953154666679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395.51609999999999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1370.6585248800002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12.819668239033334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1.0255734591226666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97.336244665824026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54.386471317111052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21.645815584210201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1.7363891002455039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188.95016236554679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37.305449282157753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6.3952198769413329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1.8963412949660536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7.6742638523296067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1.0449075920283835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38.115510466570342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92.431692364993467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1256.5242796105404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92.431692364993467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92.431692364993467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>
        <f>+'Material Limpeza'!F52</f>
        <v>485.59937291666677</v>
      </c>
      <c r="L100" s="170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>
        <f>+'Utensílios e Equip. limp'!D34</f>
        <v>9.9467822265624992</v>
      </c>
      <c r="L101" s="170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555.54615514322927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181.69732673768851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228.93863168948749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0.2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73.054856198670606</v>
      </c>
    </row>
    <row r="111" spans="1:13" ht="23.2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336.49509521811916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221.37835211718368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1041.5642619611494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4044.5824931809457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4427.5670423436732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382.98454916272749</v>
      </c>
      <c r="M118" s="173"/>
      <c r="N118" s="173"/>
      <c r="O118" s="173"/>
      <c r="P118" s="189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M119" s="173"/>
      <c r="N119" s="173"/>
      <c r="O119" s="173"/>
      <c r="P119" s="189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M120" s="173"/>
      <c r="N120" s="173"/>
      <c r="O120" s="173"/>
      <c r="P120" s="173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M121" s="190"/>
      <c r="N121" s="173"/>
      <c r="O121" s="173"/>
      <c r="P121" s="173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1426.36</v>
      </c>
      <c r="M122" s="191"/>
      <c r="N122" s="191"/>
      <c r="O122" s="192"/>
      <c r="P122" s="173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1370.6585248800002</v>
      </c>
      <c r="M123" s="173"/>
      <c r="N123" s="173"/>
      <c r="O123" s="173"/>
      <c r="P123" s="173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188.95016236554679</v>
      </c>
      <c r="M124" s="173"/>
      <c r="N124" s="173"/>
      <c r="O124" s="173"/>
      <c r="P124" s="173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92.431692364993467</v>
      </c>
      <c r="M125" s="173"/>
      <c r="N125" s="173"/>
      <c r="O125" s="173"/>
      <c r="P125" s="173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555.54615514322927</v>
      </c>
      <c r="M126" s="173"/>
      <c r="N126" s="173"/>
      <c r="O126" s="173"/>
      <c r="P126" s="173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3633.9465347537698</v>
      </c>
      <c r="M127" s="173"/>
      <c r="N127" s="173"/>
      <c r="O127" s="173"/>
      <c r="P127" s="173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1041.5642619611494</v>
      </c>
      <c r="M128" s="191"/>
      <c r="N128" s="193"/>
      <c r="O128" s="192"/>
      <c r="P128" s="173"/>
    </row>
    <row r="129" spans="1:17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4675.5107967149197</v>
      </c>
      <c r="M129" s="173"/>
      <c r="N129" s="173"/>
      <c r="O129" s="173"/>
      <c r="P129" s="173"/>
    </row>
    <row r="130" spans="1:17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  <c r="M130" s="173"/>
      <c r="N130" s="173"/>
      <c r="O130" s="173"/>
      <c r="P130" s="173"/>
    </row>
    <row r="131" spans="1:17" x14ac:dyDescent="0.2">
      <c r="A131" s="325" t="s">
        <v>187</v>
      </c>
      <c r="B131" s="324"/>
      <c r="C131" s="331">
        <f>K129*E13</f>
        <v>140265.32390144758</v>
      </c>
      <c r="D131" s="331"/>
      <c r="E131" s="336"/>
      <c r="F131" s="337"/>
      <c r="G131" s="337"/>
      <c r="H131" s="337"/>
      <c r="I131" s="337"/>
      <c r="J131" s="337"/>
      <c r="K131" s="338"/>
      <c r="L131" s="148"/>
      <c r="M131" s="194"/>
      <c r="N131" s="173"/>
      <c r="O131" s="173"/>
      <c r="P131" s="173"/>
    </row>
    <row r="132" spans="1:17" x14ac:dyDescent="0.2">
      <c r="A132" s="325" t="s">
        <v>188</v>
      </c>
      <c r="B132" s="324"/>
      <c r="C132" s="331">
        <f>C131*K8</f>
        <v>1683183.886817371</v>
      </c>
      <c r="D132" s="331"/>
      <c r="E132" s="336"/>
      <c r="F132" s="337"/>
      <c r="G132" s="337"/>
      <c r="H132" s="337"/>
      <c r="I132" s="337"/>
      <c r="J132" s="337"/>
      <c r="K132" s="338"/>
      <c r="L132" s="148"/>
      <c r="M132" s="194"/>
      <c r="N132" s="173"/>
      <c r="O132" s="173"/>
      <c r="P132" s="173"/>
    </row>
    <row r="133" spans="1:17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  <c r="M133" s="173"/>
      <c r="N133" s="173"/>
      <c r="O133" s="173"/>
      <c r="P133" s="173"/>
    </row>
    <row r="134" spans="1:17" x14ac:dyDescent="0.2">
      <c r="M134" s="173"/>
      <c r="N134" s="173"/>
      <c r="O134" s="173"/>
      <c r="P134" s="173"/>
    </row>
    <row r="135" spans="1:17" ht="13.5" thickBot="1" x14ac:dyDescent="0.25"/>
    <row r="136" spans="1:17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</row>
    <row r="137" spans="1:17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L137" s="148"/>
    </row>
    <row r="138" spans="1:17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4675.5107967149197</v>
      </c>
      <c r="G138" s="324"/>
      <c r="H138" s="324"/>
      <c r="I138" s="346"/>
      <c r="K138" s="195"/>
      <c r="L138" s="193"/>
      <c r="M138" s="173"/>
      <c r="N138" s="173"/>
      <c r="O138" s="173"/>
      <c r="P138" s="173"/>
      <c r="Q138" s="196"/>
    </row>
    <row r="139" spans="1:17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271.17962620946537</v>
      </c>
      <c r="G139" s="324"/>
      <c r="H139" s="324"/>
      <c r="I139" s="346"/>
      <c r="K139" s="195"/>
      <c r="L139" s="193"/>
      <c r="M139" s="173"/>
      <c r="N139" s="173"/>
      <c r="O139" s="173"/>
      <c r="P139" s="173"/>
      <c r="Q139" s="196"/>
    </row>
    <row r="140" spans="1:17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224.42451824231614</v>
      </c>
      <c r="G140" s="306"/>
      <c r="H140" s="306"/>
      <c r="I140" s="350"/>
      <c r="K140" s="197"/>
      <c r="L140" s="173"/>
      <c r="M140" s="193"/>
      <c r="N140" s="173"/>
      <c r="O140" s="198"/>
      <c r="P140" s="173"/>
      <c r="Q140" s="196"/>
    </row>
    <row r="141" spans="1:17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46.7551079671492</v>
      </c>
      <c r="G141" s="306"/>
      <c r="H141" s="306"/>
      <c r="I141" s="350"/>
      <c r="K141" s="197"/>
      <c r="L141" s="173"/>
      <c r="M141" s="192"/>
      <c r="N141" s="173"/>
      <c r="O141" s="199"/>
      <c r="P141" s="173"/>
      <c r="Q141" s="196"/>
    </row>
    <row r="142" spans="1:17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410.63595842717598</v>
      </c>
      <c r="G142" s="324"/>
      <c r="H142" s="324"/>
      <c r="I142" s="346"/>
      <c r="K142" s="195"/>
      <c r="L142" s="173"/>
      <c r="M142" s="200"/>
      <c r="N142" s="173"/>
      <c r="O142" s="201"/>
      <c r="P142" s="173"/>
      <c r="Q142" s="196"/>
    </row>
    <row r="143" spans="1:17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181.69732673768851</v>
      </c>
      <c r="G143" s="306"/>
      <c r="H143" s="306"/>
      <c r="I143" s="350"/>
      <c r="K143" s="195"/>
      <c r="L143" s="173"/>
      <c r="M143" s="173"/>
      <c r="N143" s="173"/>
      <c r="O143" s="202"/>
      <c r="P143" s="173"/>
      <c r="Q143" s="196"/>
    </row>
    <row r="144" spans="1:17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228.93863168948749</v>
      </c>
      <c r="G144" s="306"/>
      <c r="H144" s="306"/>
      <c r="I144" s="350"/>
      <c r="K144" s="195"/>
      <c r="L144" s="173"/>
      <c r="M144" s="173"/>
      <c r="N144" s="173"/>
      <c r="O144" s="198"/>
      <c r="P144" s="173"/>
      <c r="Q144" s="196"/>
    </row>
    <row r="145" spans="1:17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139.45633221771061</v>
      </c>
      <c r="G145" s="354"/>
      <c r="H145" s="354"/>
      <c r="I145" s="355"/>
      <c r="K145" s="195"/>
      <c r="L145" s="173"/>
      <c r="M145" s="173"/>
      <c r="N145" s="173"/>
      <c r="O145" s="198"/>
      <c r="P145" s="173"/>
      <c r="Q145" s="196"/>
    </row>
  </sheetData>
  <mergeCells count="160">
    <mergeCell ref="B141:E141"/>
    <mergeCell ref="F141:I141"/>
    <mergeCell ref="B142:E142"/>
    <mergeCell ref="F142:I142"/>
    <mergeCell ref="B143:E143"/>
    <mergeCell ref="F143:I143"/>
    <mergeCell ref="B144:E144"/>
    <mergeCell ref="F144:I144"/>
    <mergeCell ref="B145:E145"/>
    <mergeCell ref="F145:I145"/>
    <mergeCell ref="A136:I136"/>
    <mergeCell ref="B137:E137"/>
    <mergeCell ref="F137:I137"/>
    <mergeCell ref="B138:E138"/>
    <mergeCell ref="F138:I138"/>
    <mergeCell ref="B139:E139"/>
    <mergeCell ref="F139:I139"/>
    <mergeCell ref="B140:E140"/>
    <mergeCell ref="F140:I140"/>
    <mergeCell ref="A132:B132"/>
    <mergeCell ref="C132:D132"/>
    <mergeCell ref="B117:J117"/>
    <mergeCell ref="A120:K120"/>
    <mergeCell ref="A121:J121"/>
    <mergeCell ref="B125:J125"/>
    <mergeCell ref="B126:J126"/>
    <mergeCell ref="B127:J127"/>
    <mergeCell ref="B128:J128"/>
    <mergeCell ref="A129:J129"/>
    <mergeCell ref="A131:B131"/>
    <mergeCell ref="C131:D131"/>
    <mergeCell ref="B122:J122"/>
    <mergeCell ref="B123:J123"/>
    <mergeCell ref="B124:J124"/>
    <mergeCell ref="B118:J118"/>
    <mergeCell ref="A119:K119"/>
    <mergeCell ref="A130:K130"/>
    <mergeCell ref="E131:K131"/>
    <mergeCell ref="E132:K132"/>
    <mergeCell ref="A55:K55"/>
    <mergeCell ref="A56:K56"/>
    <mergeCell ref="B58:J58"/>
    <mergeCell ref="B59:J59"/>
    <mergeCell ref="B60:J60"/>
    <mergeCell ref="A61:J61"/>
    <mergeCell ref="A62:K62"/>
    <mergeCell ref="A63:K63"/>
    <mergeCell ref="B68:I68"/>
    <mergeCell ref="B67:I67"/>
    <mergeCell ref="B64:I64"/>
    <mergeCell ref="B65:I65"/>
    <mergeCell ref="B66:I66"/>
    <mergeCell ref="A57:J57"/>
    <mergeCell ref="A44:I44"/>
    <mergeCell ref="A45:K45"/>
    <mergeCell ref="B50:I50"/>
    <mergeCell ref="B51:I51"/>
    <mergeCell ref="B52:I52"/>
    <mergeCell ref="B53:I53"/>
    <mergeCell ref="A54:J54"/>
    <mergeCell ref="B49:I49"/>
    <mergeCell ref="B46:I46"/>
    <mergeCell ref="B47:I47"/>
    <mergeCell ref="B48:I48"/>
    <mergeCell ref="B116:J116"/>
    <mergeCell ref="A85:I85"/>
    <mergeCell ref="B94:J94"/>
    <mergeCell ref="A95:J95"/>
    <mergeCell ref="A96:K96"/>
    <mergeCell ref="A97:K97"/>
    <mergeCell ref="B88:I88"/>
    <mergeCell ref="A89:I89"/>
    <mergeCell ref="A90:K90"/>
    <mergeCell ref="A91:K91"/>
    <mergeCell ref="A92:J92"/>
    <mergeCell ref="B93:J93"/>
    <mergeCell ref="B109:I109"/>
    <mergeCell ref="A114:K114"/>
    <mergeCell ref="B102:I102"/>
    <mergeCell ref="B106:I106"/>
    <mergeCell ref="B107:I107"/>
    <mergeCell ref="B98:I98"/>
    <mergeCell ref="B99:I99"/>
    <mergeCell ref="B100:I100"/>
    <mergeCell ref="B101:I101"/>
    <mergeCell ref="A103:I103"/>
    <mergeCell ref="A104:K104"/>
    <mergeCell ref="A105:K105"/>
    <mergeCell ref="A83:I83"/>
    <mergeCell ref="A84:K84"/>
    <mergeCell ref="A86:K86"/>
    <mergeCell ref="B87:I87"/>
    <mergeCell ref="B110:I110"/>
    <mergeCell ref="B111:I111"/>
    <mergeCell ref="B112:I112"/>
    <mergeCell ref="A113:I113"/>
    <mergeCell ref="F115:J115"/>
    <mergeCell ref="B69:I69"/>
    <mergeCell ref="B70:I70"/>
    <mergeCell ref="A72:I72"/>
    <mergeCell ref="A73:K73"/>
    <mergeCell ref="A74:K74"/>
    <mergeCell ref="B79:I79"/>
    <mergeCell ref="B80:I80"/>
    <mergeCell ref="B81:I81"/>
    <mergeCell ref="B82:I82"/>
    <mergeCell ref="B75:I75"/>
    <mergeCell ref="B76:I76"/>
    <mergeCell ref="B77:I77"/>
    <mergeCell ref="B78:I78"/>
    <mergeCell ref="B71:I71"/>
    <mergeCell ref="B38:I38"/>
    <mergeCell ref="B39:I39"/>
    <mergeCell ref="B42:I42"/>
    <mergeCell ref="B43:I43"/>
    <mergeCell ref="B35:I35"/>
    <mergeCell ref="B37:I37"/>
    <mergeCell ref="B22:I22"/>
    <mergeCell ref="B27:I27"/>
    <mergeCell ref="B28:I28"/>
    <mergeCell ref="A30:J30"/>
    <mergeCell ref="A31:I31"/>
    <mergeCell ref="A32:I32"/>
    <mergeCell ref="A33:I33"/>
    <mergeCell ref="B40:I40"/>
    <mergeCell ref="B41:I41"/>
    <mergeCell ref="A34:K34"/>
    <mergeCell ref="B18:I18"/>
    <mergeCell ref="B19:I19"/>
    <mergeCell ref="B20:I20"/>
    <mergeCell ref="B21:I21"/>
    <mergeCell ref="A23:J23"/>
    <mergeCell ref="A24:K24"/>
    <mergeCell ref="A25:K25"/>
    <mergeCell ref="B26:I26"/>
    <mergeCell ref="B29:I29"/>
    <mergeCell ref="A133:K133"/>
    <mergeCell ref="A1:K1"/>
    <mergeCell ref="A2:K2"/>
    <mergeCell ref="A3:J3"/>
    <mergeCell ref="A4:J4"/>
    <mergeCell ref="B5:J5"/>
    <mergeCell ref="B6:J6"/>
    <mergeCell ref="B7:J7"/>
    <mergeCell ref="B108:I108"/>
    <mergeCell ref="B15:I15"/>
    <mergeCell ref="B16:I16"/>
    <mergeCell ref="B17:I17"/>
    <mergeCell ref="A10:K10"/>
    <mergeCell ref="B36:I36"/>
    <mergeCell ref="B8:J8"/>
    <mergeCell ref="A9:K9"/>
    <mergeCell ref="A11:K11"/>
    <mergeCell ref="A12:B12"/>
    <mergeCell ref="C12:D12"/>
    <mergeCell ref="E12:K12"/>
    <mergeCell ref="A13:B13"/>
    <mergeCell ref="C13:D13"/>
    <mergeCell ref="E13:K13"/>
    <mergeCell ref="A14:K14"/>
  </mergeCells>
  <phoneticPr fontId="2" type="noConversion"/>
  <printOptions horizontalCentered="1"/>
  <pageMargins left="0.19685039370078741" right="0.19685039370078741" top="0.59055118110236227" bottom="0.59055118110236227" header="0" footer="0.51181102362204722"/>
  <pageSetup paperSize="9" scale="7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7"/>
  <sheetViews>
    <sheetView showGridLines="0" zoomScaleNormal="100" zoomScaleSheetLayoutView="130" workbookViewId="0">
      <selection activeCell="M36" sqref="M3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256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352</v>
      </c>
      <c r="B13" s="311"/>
      <c r="C13" s="306" t="s">
        <v>91</v>
      </c>
      <c r="D13" s="306"/>
      <c r="E13" s="312">
        <v>2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2093.9899999999998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2093.9899999999998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174.49916666666664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253.37278999999995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427.87195666666662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427.87195666666662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2093.9899999999998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427.87195666666662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2521.8619566666666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504.37239133333333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63.046548916666666</v>
      </c>
    </row>
    <row r="38" spans="1:18" ht="32.25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151.31171739999999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37.827929349999998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25.218619566666668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15.131171739999999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5.0437239133333334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201.74895653333334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1003.7010587533334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28.360600000000019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15.704924999999999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360.46552500000001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427.87195666666662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1003.7010587533334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360.46552500000001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1792.0385404200001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17.810964143591665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1.4248771314873334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135.23379320661604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75.561666063722143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30.073543093361415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2.4124465178927359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262.51729015667138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50.958132876767017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8.735679921731494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2.5903457416554474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10.482815906077803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1.4273126565450989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52.064652333519703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126.25893943629656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1820.3492450129679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126.25893943629656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126.25893943629656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>
        <f>+'Material Limpeza'!F52</f>
        <v>485.59937291666677</v>
      </c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>
        <f>+'Utensílios e Equip. limp'!D34</f>
        <v>9.9467822265624992</v>
      </c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555.54615514322927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241.51754625780987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304.31210828484041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8.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97.106709978140103</v>
      </c>
    </row>
    <row r="111" spans="1:13" ht="31.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447.27939141446348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294.26275750951544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1384.4785134447693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5376.1805796988474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5885.255150190309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509.0745704914616</v>
      </c>
      <c r="M118" s="196"/>
      <c r="N118" s="196"/>
      <c r="O118" s="196"/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M119" s="196"/>
      <c r="N119" s="196"/>
      <c r="O119" s="196"/>
      <c r="P119" s="2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M120" s="173"/>
      <c r="N120" s="196"/>
      <c r="O120" s="19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M121" s="213"/>
      <c r="N121" s="196"/>
      <c r="O121" s="196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2093.9899999999998</v>
      </c>
      <c r="M122" s="214"/>
      <c r="N122" s="214"/>
      <c r="O122" s="215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1792.0385404200001</v>
      </c>
      <c r="M123" s="196"/>
      <c r="N123" s="196"/>
      <c r="O123" s="196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262.51729015667138</v>
      </c>
      <c r="M124" s="196"/>
      <c r="N124" s="196"/>
      <c r="O124" s="196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126.25893943629656</v>
      </c>
      <c r="M125" s="196"/>
      <c r="N125" s="196"/>
      <c r="O125" s="196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555.54615514322927</v>
      </c>
      <c r="M126" s="216"/>
      <c r="N126" s="216"/>
      <c r="O126" s="216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4830.3509251561973</v>
      </c>
      <c r="M127" s="216"/>
      <c r="N127" s="216"/>
      <c r="O127" s="216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1384.4785134447693</v>
      </c>
      <c r="M128" s="214"/>
      <c r="N128" s="217"/>
      <c r="O128" s="215"/>
    </row>
    <row r="129" spans="1:18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6214.8294386009666</v>
      </c>
      <c r="M129" s="196"/>
      <c r="N129" s="196"/>
      <c r="O129" s="196"/>
    </row>
    <row r="130" spans="1:18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  <c r="M130" s="196"/>
      <c r="N130" s="196"/>
      <c r="O130" s="196"/>
    </row>
    <row r="131" spans="1:18" x14ac:dyDescent="0.2">
      <c r="A131" s="325" t="s">
        <v>187</v>
      </c>
      <c r="B131" s="324"/>
      <c r="C131" s="331">
        <f>K129*E13</f>
        <v>12429.658877201933</v>
      </c>
      <c r="D131" s="331"/>
      <c r="E131" s="336"/>
      <c r="F131" s="337"/>
      <c r="G131" s="337"/>
      <c r="H131" s="337"/>
      <c r="I131" s="337"/>
      <c r="J131" s="337"/>
      <c r="K131" s="338"/>
      <c r="L131" s="148"/>
      <c r="M131" s="194"/>
      <c r="N131" s="196"/>
      <c r="O131" s="196"/>
    </row>
    <row r="132" spans="1:18" x14ac:dyDescent="0.2">
      <c r="A132" s="325" t="s">
        <v>188</v>
      </c>
      <c r="B132" s="324"/>
      <c r="C132" s="331">
        <f>C131*K8</f>
        <v>149155.9065264232</v>
      </c>
      <c r="D132" s="331"/>
      <c r="E132" s="336"/>
      <c r="F132" s="337"/>
      <c r="G132" s="337"/>
      <c r="H132" s="337"/>
      <c r="I132" s="337"/>
      <c r="J132" s="337"/>
      <c r="K132" s="338"/>
      <c r="L132" s="148"/>
      <c r="M132" s="194"/>
      <c r="N132" s="196"/>
      <c r="O132" s="196"/>
    </row>
    <row r="133" spans="1:18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  <c r="M133" s="196"/>
      <c r="N133" s="196"/>
      <c r="O133" s="196"/>
    </row>
    <row r="134" spans="1:18" x14ac:dyDescent="0.2">
      <c r="M134" s="196"/>
      <c r="N134" s="196"/>
      <c r="O134" s="196"/>
    </row>
    <row r="135" spans="1:18" ht="13.5" thickBot="1" x14ac:dyDescent="0.25"/>
    <row r="136" spans="1:18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</row>
    <row r="137" spans="1:18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K137" s="218"/>
      <c r="L137" s="219"/>
      <c r="M137" s="196"/>
      <c r="N137" s="196"/>
      <c r="O137" s="196"/>
      <c r="P137" s="196"/>
      <c r="Q137" s="196"/>
      <c r="R137" s="196"/>
    </row>
    <row r="138" spans="1:18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6214.8294386009666</v>
      </c>
      <c r="G138" s="324"/>
      <c r="H138" s="324"/>
      <c r="I138" s="346"/>
      <c r="K138" s="218"/>
      <c r="L138" s="219"/>
      <c r="M138" s="196"/>
      <c r="N138" s="196"/>
      <c r="O138" s="196"/>
      <c r="P138" s="196"/>
      <c r="Q138" s="196"/>
      <c r="R138" s="196"/>
    </row>
    <row r="139" spans="1:18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360.46010743885608</v>
      </c>
      <c r="G139" s="324"/>
      <c r="H139" s="324"/>
      <c r="I139" s="346"/>
      <c r="K139" s="218"/>
      <c r="L139" s="219"/>
      <c r="M139" s="196"/>
      <c r="N139" s="196"/>
      <c r="O139" s="196"/>
      <c r="P139" s="196"/>
      <c r="Q139" s="196"/>
      <c r="R139" s="196"/>
    </row>
    <row r="140" spans="1:18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298.31181305284639</v>
      </c>
      <c r="G140" s="306"/>
      <c r="H140" s="306"/>
      <c r="I140" s="350"/>
      <c r="K140" s="174"/>
      <c r="L140" s="173"/>
      <c r="M140" s="219"/>
      <c r="N140" s="196"/>
      <c r="O140" s="220"/>
      <c r="P140" s="196"/>
      <c r="Q140" s="196"/>
      <c r="R140" s="196"/>
    </row>
    <row r="141" spans="1:18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62.148294386009667</v>
      </c>
      <c r="G141" s="306"/>
      <c r="H141" s="306"/>
      <c r="I141" s="350"/>
      <c r="K141" s="174"/>
      <c r="L141" s="173"/>
      <c r="M141" s="215"/>
      <c r="N141" s="196"/>
      <c r="O141" s="175"/>
      <c r="P141" s="196"/>
      <c r="Q141" s="196"/>
      <c r="R141" s="196"/>
    </row>
    <row r="142" spans="1:18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545.82965454265025</v>
      </c>
      <c r="G142" s="324"/>
      <c r="H142" s="324"/>
      <c r="I142" s="346"/>
      <c r="K142" s="218"/>
      <c r="L142" s="196"/>
      <c r="M142" s="221"/>
      <c r="N142" s="196"/>
      <c r="O142" s="222"/>
      <c r="P142" s="196"/>
      <c r="Q142" s="196"/>
      <c r="R142" s="196"/>
    </row>
    <row r="143" spans="1:18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241.51754625780987</v>
      </c>
      <c r="G143" s="306"/>
      <c r="H143" s="306"/>
      <c r="I143" s="350"/>
      <c r="K143" s="218"/>
      <c r="L143" s="196"/>
      <c r="M143" s="196"/>
      <c r="N143" s="196"/>
      <c r="O143" s="223"/>
      <c r="P143" s="196"/>
      <c r="Q143" s="196"/>
      <c r="R143" s="196"/>
    </row>
    <row r="144" spans="1:18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304.31210828484041</v>
      </c>
      <c r="G144" s="306"/>
      <c r="H144" s="306"/>
      <c r="I144" s="350"/>
      <c r="K144" s="218"/>
      <c r="L144" s="196"/>
      <c r="M144" s="196"/>
      <c r="N144" s="196"/>
      <c r="O144" s="220"/>
      <c r="P144" s="196"/>
      <c r="Q144" s="196"/>
      <c r="R144" s="196"/>
    </row>
    <row r="145" spans="1:18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185.36954710379416</v>
      </c>
      <c r="G145" s="354"/>
      <c r="H145" s="354"/>
      <c r="I145" s="355"/>
      <c r="K145" s="218"/>
      <c r="L145" s="196"/>
      <c r="M145" s="196"/>
      <c r="N145" s="196"/>
      <c r="O145" s="220"/>
      <c r="P145" s="196"/>
      <c r="Q145" s="196"/>
      <c r="R145" s="196"/>
    </row>
    <row r="146" spans="1:18" x14ac:dyDescent="0.2">
      <c r="K146" s="218"/>
      <c r="L146" s="196"/>
      <c r="M146" s="196"/>
      <c r="N146" s="196"/>
      <c r="O146" s="196"/>
      <c r="P146" s="196"/>
      <c r="Q146" s="196"/>
      <c r="R146" s="196"/>
    </row>
    <row r="147" spans="1:18" x14ac:dyDescent="0.2">
      <c r="K147" s="218"/>
      <c r="L147" s="196"/>
      <c r="M147" s="196"/>
      <c r="N147" s="196"/>
      <c r="O147" s="196"/>
      <c r="P147" s="196"/>
      <c r="Q147" s="196"/>
      <c r="R147" s="196"/>
    </row>
  </sheetData>
  <mergeCells count="160"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5"/>
  <sheetViews>
    <sheetView showGridLines="0" zoomScaleNormal="100" zoomScaleSheetLayoutView="130" workbookViewId="0">
      <selection activeCell="K22" sqref="K22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245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353</v>
      </c>
      <c r="B13" s="311"/>
      <c r="C13" s="306" t="s">
        <v>91</v>
      </c>
      <c r="D13" s="306"/>
      <c r="E13" s="312">
        <v>2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1526.46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1526.46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127.205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184.70166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311.90665999999999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311.90665999999999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1526.46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311.90665999999999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1838.3666600000001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367.67333200000007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45.959166500000009</v>
      </c>
    </row>
    <row r="38" spans="1:18" ht="28.5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110.3019996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27.575499900000001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18.383666600000002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11.030199960000001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3.6767333200000003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147.06933280000001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731.66993068000011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62.412400000000005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11.448449999999999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390.26084999999995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311.90665999999999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731.66993068000011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390.26084999999995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1433.8374406800001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13.568029936450001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1.0854423949160001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103.01835093566405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57.56133912433328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22.909412971484649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1.8377526511741442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199.98032801402212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39.352441819671633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6.746132883372284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2.0003957040153901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8.0953594600467493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1.102242862999016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40.206951984898808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97.503524715003877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1341.0604434090262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97.503524715003877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97.503524715003877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165.88906467045135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209.02022148476865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7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66.698844622671132</v>
      </c>
    </row>
    <row r="111" spans="1:13" ht="22.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307.21892068624277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202.11771097779129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950.94476244192515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3692.6905795642465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4042.3542195558257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349.6636399915792</v>
      </c>
      <c r="M118" s="196"/>
      <c r="N118" s="196"/>
      <c r="O118" s="196"/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M119" s="196"/>
      <c r="N119" s="196"/>
      <c r="O119" s="196"/>
      <c r="P119" s="2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M120" s="173"/>
      <c r="N120" s="196"/>
      <c r="O120" s="19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M121" s="213"/>
      <c r="N121" s="196"/>
      <c r="O121" s="196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1526.46</v>
      </c>
      <c r="M122" s="214"/>
      <c r="N122" s="214"/>
      <c r="O122" s="215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1433.8374406800001</v>
      </c>
      <c r="M123" s="196"/>
      <c r="N123" s="196"/>
      <c r="O123" s="196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199.98032801402212</v>
      </c>
      <c r="M124" s="196"/>
      <c r="N124" s="196"/>
      <c r="O124" s="196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97.503524715003877</v>
      </c>
      <c r="M125" s="196"/>
      <c r="N125" s="196"/>
      <c r="O125" s="196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60</v>
      </c>
      <c r="M126" s="216"/>
      <c r="N126" s="216"/>
      <c r="O126" s="216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3317.7812934090266</v>
      </c>
      <c r="M127" s="216"/>
      <c r="N127" s="216"/>
      <c r="O127" s="216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950.94476244192515</v>
      </c>
      <c r="M128" s="214"/>
      <c r="N128" s="217"/>
      <c r="O128" s="215"/>
    </row>
    <row r="129" spans="1:16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4268.7260558509515</v>
      </c>
      <c r="M129" s="196"/>
      <c r="N129" s="196"/>
      <c r="O129" s="196"/>
    </row>
    <row r="130" spans="1:16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  <c r="M130" s="196"/>
      <c r="N130" s="196"/>
      <c r="O130" s="196"/>
    </row>
    <row r="131" spans="1:16" x14ac:dyDescent="0.2">
      <c r="A131" s="325" t="s">
        <v>187</v>
      </c>
      <c r="B131" s="324"/>
      <c r="C131" s="331">
        <f>K129*E13</f>
        <v>8537.452111701903</v>
      </c>
      <c r="D131" s="331"/>
      <c r="E131" s="336"/>
      <c r="F131" s="337"/>
      <c r="G131" s="337"/>
      <c r="H131" s="337"/>
      <c r="I131" s="337"/>
      <c r="J131" s="337"/>
      <c r="K131" s="338"/>
      <c r="L131" s="148"/>
      <c r="M131" s="194"/>
      <c r="N131" s="196"/>
      <c r="O131" s="196"/>
    </row>
    <row r="132" spans="1:16" x14ac:dyDescent="0.2">
      <c r="A132" s="325" t="s">
        <v>188</v>
      </c>
      <c r="B132" s="324"/>
      <c r="C132" s="331">
        <f>C131*K8</f>
        <v>102449.42534042284</v>
      </c>
      <c r="D132" s="331"/>
      <c r="E132" s="336"/>
      <c r="F132" s="337"/>
      <c r="G132" s="337"/>
      <c r="H132" s="337"/>
      <c r="I132" s="337"/>
      <c r="J132" s="337"/>
      <c r="K132" s="338"/>
      <c r="L132" s="148"/>
      <c r="M132" s="194"/>
      <c r="N132" s="196"/>
      <c r="O132" s="196"/>
    </row>
    <row r="133" spans="1:16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  <c r="M133" s="196"/>
      <c r="N133" s="196"/>
      <c r="O133" s="196"/>
    </row>
    <row r="134" spans="1:16" x14ac:dyDescent="0.2">
      <c r="M134" s="196"/>
      <c r="N134" s="196"/>
      <c r="O134" s="196"/>
    </row>
    <row r="135" spans="1:16" ht="13.5" thickBot="1" x14ac:dyDescent="0.25">
      <c r="M135" s="196"/>
      <c r="N135" s="196"/>
      <c r="O135" s="196"/>
    </row>
    <row r="136" spans="1:16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  <c r="M136" s="196"/>
      <c r="N136" s="196"/>
      <c r="O136" s="196"/>
    </row>
    <row r="137" spans="1:16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L137" s="148"/>
      <c r="M137" s="196"/>
      <c r="N137" s="196"/>
      <c r="O137" s="196"/>
    </row>
    <row r="138" spans="1:16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4268.7260558509515</v>
      </c>
      <c r="G138" s="324"/>
      <c r="H138" s="324"/>
      <c r="I138" s="346"/>
      <c r="K138" s="218"/>
      <c r="L138" s="219"/>
      <c r="M138" s="196"/>
      <c r="N138" s="196"/>
      <c r="O138" s="196"/>
      <c r="P138" s="196"/>
    </row>
    <row r="139" spans="1:16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247.58611123935518</v>
      </c>
      <c r="G139" s="324"/>
      <c r="H139" s="324"/>
      <c r="I139" s="346"/>
      <c r="K139" s="218"/>
      <c r="L139" s="219"/>
      <c r="M139" s="196"/>
      <c r="N139" s="196"/>
      <c r="O139" s="196"/>
      <c r="P139" s="196"/>
    </row>
    <row r="140" spans="1:16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204.89885068084567</v>
      </c>
      <c r="G140" s="306"/>
      <c r="H140" s="306"/>
      <c r="I140" s="350"/>
      <c r="K140" s="174"/>
      <c r="L140" s="173"/>
      <c r="M140" s="219"/>
      <c r="N140" s="196"/>
      <c r="O140" s="220"/>
      <c r="P140" s="196"/>
    </row>
    <row r="141" spans="1:16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42.687260558509514</v>
      </c>
      <c r="G141" s="306"/>
      <c r="H141" s="306"/>
      <c r="I141" s="350"/>
      <c r="K141" s="174"/>
      <c r="L141" s="173"/>
      <c r="M141" s="215"/>
      <c r="N141" s="196"/>
      <c r="O141" s="175"/>
      <c r="P141" s="196"/>
    </row>
    <row r="142" spans="1:16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374.90928615522</v>
      </c>
      <c r="G142" s="324"/>
      <c r="H142" s="324"/>
      <c r="I142" s="346"/>
      <c r="K142" s="218"/>
      <c r="L142" s="196"/>
      <c r="M142" s="221"/>
      <c r="N142" s="196"/>
      <c r="O142" s="222"/>
      <c r="P142" s="196"/>
    </row>
    <row r="143" spans="1:16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165.88906467045135</v>
      </c>
      <c r="G143" s="306"/>
      <c r="H143" s="306"/>
      <c r="I143" s="350"/>
      <c r="K143" s="218"/>
      <c r="L143" s="196"/>
      <c r="M143" s="196"/>
      <c r="N143" s="196"/>
      <c r="O143" s="223"/>
      <c r="P143" s="196"/>
    </row>
    <row r="144" spans="1:16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209.02022148476865</v>
      </c>
      <c r="G144" s="306"/>
      <c r="H144" s="306"/>
      <c r="I144" s="350"/>
      <c r="K144" s="218"/>
      <c r="L144" s="196"/>
      <c r="M144" s="196"/>
      <c r="N144" s="196"/>
      <c r="O144" s="220"/>
      <c r="P144" s="196"/>
    </row>
    <row r="145" spans="1:16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127.32317491586483</v>
      </c>
      <c r="G145" s="354"/>
      <c r="H145" s="354"/>
      <c r="I145" s="355"/>
      <c r="K145" s="218"/>
      <c r="L145" s="196"/>
      <c r="M145" s="196"/>
      <c r="N145" s="196"/>
      <c r="O145" s="220"/>
      <c r="P145" s="196"/>
    </row>
  </sheetData>
  <mergeCells count="160"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5"/>
  <sheetViews>
    <sheetView showGridLines="0" topLeftCell="A109" zoomScaleNormal="100" zoomScaleSheetLayoutView="130" workbookViewId="0">
      <selection activeCell="M129" sqref="M129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257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354</v>
      </c>
      <c r="B13" s="311"/>
      <c r="C13" s="306" t="s">
        <v>91</v>
      </c>
      <c r="D13" s="306"/>
      <c r="E13" s="312">
        <v>6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1456.5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1456.5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121.375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176.23650000000001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297.61149999999998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297.61149999999998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1456.5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297.61149999999998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1754.1115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350.82230000000004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43.852787500000005</v>
      </c>
    </row>
    <row r="38" spans="1:18" ht="36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105.24669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26.3116725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17.541115000000001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10.524668999999999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3.5082230000000001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140.32892000000001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698.13637700000015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66.61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10.92375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393.93374999999997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297.61149999999998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698.13637700000015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393.93374999999997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1389.6816270000002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13.044999123749999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1.0435999299000001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99.047120619600037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55.342420524999937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22.026283368949979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1.7669095540416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192.27133312124155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37.921796485760829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6.5008793975590029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1.9276719631853041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7.8010552770708115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1.0621711791118487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38.745241209451656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93.958815512139452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1281.9780256333811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93.958815512139452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93.958815512139452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159.62058878166908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201.12194186490302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32.2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64.178485006698665</v>
      </c>
    </row>
    <row r="111" spans="1:13" ht="27.7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295.60999154600597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194.48025759605659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915.01126479533332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3553.1543062799533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3889.6051519211314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336.45084564117815</v>
      </c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M119" s="196"/>
      <c r="N119" s="196"/>
      <c r="O119" s="196"/>
      <c r="P119" s="224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M120" s="173"/>
      <c r="N120" s="196"/>
      <c r="O120" s="196"/>
      <c r="P120" s="19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M121" s="213"/>
      <c r="N121" s="196"/>
      <c r="O121" s="196"/>
      <c r="P121" s="196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1456.5</v>
      </c>
      <c r="M122" s="214"/>
      <c r="N122" s="214"/>
      <c r="O122" s="215"/>
      <c r="P122" s="196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1389.6816270000002</v>
      </c>
      <c r="M123" s="196"/>
      <c r="N123" s="196"/>
      <c r="O123" s="196"/>
      <c r="P123" s="196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192.27133312124155</v>
      </c>
      <c r="M124" s="196"/>
      <c r="N124" s="196"/>
      <c r="O124" s="196"/>
      <c r="P124" s="196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93.958815512139452</v>
      </c>
      <c r="M125" s="196"/>
      <c r="N125" s="196"/>
      <c r="O125" s="196"/>
      <c r="P125" s="196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60</v>
      </c>
      <c r="M126" s="216"/>
      <c r="N126" s="216"/>
      <c r="O126" s="216"/>
      <c r="P126" s="196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3192.4117756333812</v>
      </c>
      <c r="M127" s="216"/>
      <c r="N127" s="216"/>
      <c r="O127" s="216"/>
      <c r="P127" s="196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915.01126479533332</v>
      </c>
      <c r="M128" s="214"/>
      <c r="N128" s="217"/>
      <c r="O128" s="215"/>
      <c r="P128" s="196"/>
    </row>
    <row r="129" spans="1:16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4107.4230404287146</v>
      </c>
      <c r="M129" s="196"/>
      <c r="N129" s="196"/>
      <c r="O129" s="196"/>
      <c r="P129" s="196"/>
    </row>
    <row r="130" spans="1:16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  <c r="M130" s="196"/>
      <c r="N130" s="196"/>
      <c r="O130" s="196"/>
      <c r="P130" s="196"/>
    </row>
    <row r="131" spans="1:16" x14ac:dyDescent="0.2">
      <c r="A131" s="325" t="s">
        <v>187</v>
      </c>
      <c r="B131" s="324"/>
      <c r="C131" s="331">
        <f>K129*E13</f>
        <v>24644.538242572286</v>
      </c>
      <c r="D131" s="331"/>
      <c r="E131" s="336"/>
      <c r="F131" s="337"/>
      <c r="G131" s="337"/>
      <c r="H131" s="337"/>
      <c r="I131" s="337"/>
      <c r="J131" s="337"/>
      <c r="K131" s="338"/>
      <c r="L131" s="148"/>
      <c r="M131" s="194"/>
      <c r="N131" s="196"/>
      <c r="O131" s="196"/>
      <c r="P131" s="196"/>
    </row>
    <row r="132" spans="1:16" x14ac:dyDescent="0.2">
      <c r="A132" s="325" t="s">
        <v>188</v>
      </c>
      <c r="B132" s="324"/>
      <c r="C132" s="331">
        <f>C131*K8</f>
        <v>295734.45891086746</v>
      </c>
      <c r="D132" s="331"/>
      <c r="E132" s="336"/>
      <c r="F132" s="337"/>
      <c r="G132" s="337"/>
      <c r="H132" s="337"/>
      <c r="I132" s="337"/>
      <c r="J132" s="337"/>
      <c r="K132" s="338"/>
      <c r="L132" s="148"/>
      <c r="M132" s="194"/>
      <c r="N132" s="196"/>
      <c r="O132" s="196"/>
      <c r="P132" s="196"/>
    </row>
    <row r="133" spans="1:16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  <c r="M133" s="196"/>
      <c r="N133" s="196"/>
      <c r="O133" s="196"/>
      <c r="P133" s="196"/>
    </row>
    <row r="134" spans="1:16" x14ac:dyDescent="0.2">
      <c r="M134" s="196"/>
      <c r="N134" s="196"/>
      <c r="O134" s="196"/>
      <c r="P134" s="196"/>
    </row>
    <row r="135" spans="1:16" ht="13.5" thickBot="1" x14ac:dyDescent="0.25"/>
    <row r="136" spans="1:16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</row>
    <row r="137" spans="1:16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L137" s="148"/>
    </row>
    <row r="138" spans="1:16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4107.4230404287146</v>
      </c>
      <c r="G138" s="324"/>
      <c r="H138" s="324"/>
      <c r="I138" s="346"/>
      <c r="K138" s="218"/>
      <c r="L138" s="219"/>
      <c r="M138" s="196"/>
      <c r="N138" s="196"/>
      <c r="O138" s="196"/>
      <c r="P138" s="196"/>
    </row>
    <row r="139" spans="1:16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238.23053634486547</v>
      </c>
      <c r="G139" s="324"/>
      <c r="H139" s="324"/>
      <c r="I139" s="346"/>
      <c r="K139" s="218"/>
      <c r="L139" s="219"/>
      <c r="M139" s="196"/>
      <c r="N139" s="196"/>
      <c r="O139" s="196"/>
      <c r="P139" s="196"/>
    </row>
    <row r="140" spans="1:16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197.15630594057831</v>
      </c>
      <c r="G140" s="306"/>
      <c r="H140" s="306"/>
      <c r="I140" s="350"/>
      <c r="K140" s="174"/>
      <c r="L140" s="173"/>
      <c r="M140" s="219"/>
      <c r="N140" s="196"/>
      <c r="O140" s="220"/>
      <c r="P140" s="196"/>
    </row>
    <row r="141" spans="1:16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41.07423040428715</v>
      </c>
      <c r="G141" s="306"/>
      <c r="H141" s="306"/>
      <c r="I141" s="350"/>
      <c r="K141" s="174"/>
      <c r="L141" s="173"/>
      <c r="M141" s="215"/>
      <c r="N141" s="196"/>
      <c r="O141" s="175"/>
      <c r="P141" s="196"/>
    </row>
    <row r="142" spans="1:16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360.74253064657211</v>
      </c>
      <c r="G142" s="324"/>
      <c r="H142" s="324"/>
      <c r="I142" s="346"/>
      <c r="K142" s="218"/>
      <c r="L142" s="196"/>
      <c r="M142" s="221"/>
      <c r="N142" s="196"/>
      <c r="O142" s="222"/>
      <c r="P142" s="196"/>
    </row>
    <row r="143" spans="1:16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159.62058878166908</v>
      </c>
      <c r="G143" s="306"/>
      <c r="H143" s="306"/>
      <c r="I143" s="350"/>
      <c r="K143" s="218"/>
      <c r="L143" s="196"/>
      <c r="M143" s="196"/>
      <c r="N143" s="196"/>
      <c r="O143" s="223"/>
      <c r="P143" s="196"/>
    </row>
    <row r="144" spans="1:16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201.12194186490302</v>
      </c>
      <c r="G144" s="306"/>
      <c r="H144" s="306"/>
      <c r="I144" s="350"/>
      <c r="K144" s="218"/>
      <c r="L144" s="196"/>
      <c r="M144" s="196"/>
      <c r="N144" s="196"/>
      <c r="O144" s="220"/>
      <c r="P144" s="196"/>
    </row>
    <row r="145" spans="1:16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122.51199430170664</v>
      </c>
      <c r="G145" s="354"/>
      <c r="H145" s="354"/>
      <c r="I145" s="355"/>
      <c r="K145" s="218"/>
      <c r="L145" s="196"/>
      <c r="M145" s="196"/>
      <c r="N145" s="196"/>
      <c r="O145" s="220"/>
      <c r="P145" s="196"/>
    </row>
  </sheetData>
  <mergeCells count="160"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5"/>
  <sheetViews>
    <sheetView showGridLines="0" zoomScaleNormal="100" zoomScaleSheetLayoutView="130" workbookViewId="0">
      <selection activeCell="K22" sqref="K22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258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355</v>
      </c>
      <c r="B13" s="311"/>
      <c r="C13" s="306" t="s">
        <v>91</v>
      </c>
      <c r="D13" s="306"/>
      <c r="E13" s="312">
        <v>4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1426.36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1426.36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118.86333333333332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172.58955999999998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291.45289333333329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291.45289333333329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1426.36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291.45289333333329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1717.8128933333332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343.5625786666667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42.945322333333337</v>
      </c>
    </row>
    <row r="38" spans="1:18" ht="34.5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103.06877359999999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25.767193399999996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17.178128933333333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10.30687736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3.4356257866666664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137.42503146666667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683.68953154666679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68.418400000000005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10.697699999999999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395.51609999999999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291.45289333333329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683.68953154666679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395.51609999999999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1370.6585248800002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12.819668239033334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1.0255734591226666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97.336244665824026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54.386471317111052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21.645815584210201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1.7363891002455039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188.95016236554679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37.305449282157753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6.3952198769413329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1.8963412949660536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7.6742638523296067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1.0449075920283835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38.115510466570342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92.431692364993467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1256.5242796105404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92.431692364993467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92.431692364993467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156.92001898052703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197.71922391546403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5.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63.092669700446386</v>
      </c>
    </row>
    <row r="111" spans="1:13" ht="28.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290.60866043841969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191.18990818317087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899.53048121802794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3493.0396225065315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3823.7981636634172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330.75854115688571</v>
      </c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P119" s="2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L120" s="196"/>
      <c r="M120" s="173"/>
      <c r="N120" s="196"/>
      <c r="O120" s="19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L121" s="196"/>
      <c r="M121" s="213"/>
      <c r="N121" s="196"/>
      <c r="O121" s="196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1426.36</v>
      </c>
      <c r="L122" s="196"/>
      <c r="M122" s="214"/>
      <c r="N122" s="214"/>
      <c r="O122" s="215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1370.6585248800002</v>
      </c>
      <c r="L123" s="196"/>
      <c r="M123" s="196"/>
      <c r="N123" s="196"/>
      <c r="O123" s="196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188.95016236554679</v>
      </c>
      <c r="L124" s="196"/>
      <c r="M124" s="196"/>
      <c r="N124" s="196"/>
      <c r="O124" s="196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92.431692364993467</v>
      </c>
      <c r="L125" s="196"/>
      <c r="M125" s="196"/>
      <c r="N125" s="196"/>
      <c r="O125" s="196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60</v>
      </c>
      <c r="L126" s="196"/>
      <c r="M126" s="216"/>
      <c r="N126" s="216"/>
      <c r="O126" s="216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3138.4003796105403</v>
      </c>
      <c r="L127" s="196"/>
      <c r="M127" s="216"/>
      <c r="N127" s="216"/>
      <c r="O127" s="216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899.53048121802794</v>
      </c>
      <c r="L128" s="196"/>
      <c r="M128" s="214"/>
      <c r="N128" s="217"/>
      <c r="O128" s="215"/>
    </row>
    <row r="129" spans="1:16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4037.9308608285683</v>
      </c>
      <c r="L129" s="196"/>
      <c r="M129" s="196"/>
      <c r="N129" s="196"/>
      <c r="O129" s="196"/>
    </row>
    <row r="130" spans="1:16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  <c r="L130" s="196"/>
      <c r="M130" s="196"/>
      <c r="N130" s="196"/>
      <c r="O130" s="196"/>
    </row>
    <row r="131" spans="1:16" x14ac:dyDescent="0.2">
      <c r="A131" s="325" t="s">
        <v>187</v>
      </c>
      <c r="B131" s="324"/>
      <c r="C131" s="331">
        <f>K129*E13</f>
        <v>16151.723443314273</v>
      </c>
      <c r="D131" s="331"/>
      <c r="E131" s="336"/>
      <c r="F131" s="337"/>
      <c r="G131" s="337"/>
      <c r="H131" s="337"/>
      <c r="I131" s="337"/>
      <c r="J131" s="337"/>
      <c r="K131" s="338"/>
      <c r="L131" s="219"/>
      <c r="M131" s="194"/>
      <c r="N131" s="196"/>
      <c r="O131" s="196"/>
    </row>
    <row r="132" spans="1:16" x14ac:dyDescent="0.2">
      <c r="A132" s="325" t="s">
        <v>188</v>
      </c>
      <c r="B132" s="324"/>
      <c r="C132" s="331">
        <f>C131*K8</f>
        <v>193820.68131977128</v>
      </c>
      <c r="D132" s="331"/>
      <c r="E132" s="336"/>
      <c r="F132" s="337"/>
      <c r="G132" s="337"/>
      <c r="H132" s="337"/>
      <c r="I132" s="337"/>
      <c r="J132" s="337"/>
      <c r="K132" s="338"/>
      <c r="L132" s="219"/>
      <c r="M132" s="194"/>
      <c r="N132" s="196"/>
      <c r="O132" s="196"/>
    </row>
    <row r="133" spans="1:16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  <c r="L133" s="196"/>
      <c r="M133" s="196"/>
      <c r="N133" s="196"/>
      <c r="O133" s="196"/>
    </row>
    <row r="134" spans="1:16" x14ac:dyDescent="0.2">
      <c r="L134" s="196"/>
      <c r="M134" s="196"/>
      <c r="N134" s="196"/>
      <c r="O134" s="196"/>
    </row>
    <row r="135" spans="1:16" ht="13.5" thickBot="1" x14ac:dyDescent="0.25">
      <c r="L135" s="196"/>
      <c r="M135" s="196"/>
      <c r="N135" s="196"/>
      <c r="O135" s="196"/>
    </row>
    <row r="136" spans="1:16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</row>
    <row r="137" spans="1:16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L137" s="148"/>
    </row>
    <row r="138" spans="1:16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4037.9308608285683</v>
      </c>
      <c r="G138" s="324"/>
      <c r="H138" s="324"/>
      <c r="I138" s="346"/>
      <c r="K138" s="218"/>
      <c r="L138" s="219"/>
      <c r="M138" s="196"/>
      <c r="N138" s="196"/>
      <c r="O138" s="196"/>
      <c r="P138" s="196"/>
    </row>
    <row r="139" spans="1:16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234.19998992805694</v>
      </c>
      <c r="G139" s="324"/>
      <c r="H139" s="324"/>
      <c r="I139" s="346"/>
      <c r="K139" s="218"/>
      <c r="L139" s="219"/>
      <c r="M139" s="196"/>
      <c r="N139" s="196"/>
      <c r="O139" s="196"/>
      <c r="P139" s="196"/>
    </row>
    <row r="140" spans="1:16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193.82068131977127</v>
      </c>
      <c r="G140" s="306"/>
      <c r="H140" s="306"/>
      <c r="I140" s="350"/>
      <c r="K140" s="174"/>
      <c r="L140" s="173"/>
      <c r="M140" s="219"/>
      <c r="N140" s="196"/>
      <c r="O140" s="220"/>
      <c r="P140" s="196"/>
    </row>
    <row r="141" spans="1:16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40.379308608285683</v>
      </c>
      <c r="G141" s="306"/>
      <c r="H141" s="306"/>
      <c r="I141" s="350"/>
      <c r="K141" s="174"/>
      <c r="L141" s="173"/>
      <c r="M141" s="215"/>
      <c r="N141" s="196"/>
      <c r="O141" s="175"/>
      <c r="P141" s="196"/>
    </row>
    <row r="142" spans="1:16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354.63924289599106</v>
      </c>
      <c r="G142" s="324"/>
      <c r="H142" s="324"/>
      <c r="I142" s="346"/>
      <c r="K142" s="218"/>
      <c r="L142" s="196"/>
      <c r="M142" s="221"/>
      <c r="N142" s="196"/>
      <c r="O142" s="222"/>
      <c r="P142" s="196"/>
    </row>
    <row r="143" spans="1:16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156.92001898052703</v>
      </c>
      <c r="G143" s="306"/>
      <c r="H143" s="306"/>
      <c r="I143" s="350"/>
      <c r="K143" s="218"/>
      <c r="L143" s="196"/>
      <c r="M143" s="196"/>
      <c r="N143" s="196"/>
      <c r="O143" s="223"/>
      <c r="P143" s="196"/>
    </row>
    <row r="144" spans="1:16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197.71922391546403</v>
      </c>
      <c r="G144" s="306"/>
      <c r="H144" s="306"/>
      <c r="I144" s="350"/>
      <c r="K144" s="218"/>
      <c r="L144" s="196"/>
      <c r="M144" s="196"/>
      <c r="N144" s="196"/>
      <c r="O144" s="220"/>
      <c r="P144" s="196"/>
    </row>
    <row r="145" spans="1:16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120.43925296793412</v>
      </c>
      <c r="G145" s="354"/>
      <c r="H145" s="354"/>
      <c r="I145" s="355"/>
      <c r="K145" s="218"/>
      <c r="L145" s="196"/>
      <c r="M145" s="196"/>
      <c r="N145" s="196"/>
      <c r="O145" s="220"/>
      <c r="P145" s="196"/>
    </row>
  </sheetData>
  <mergeCells count="160"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45"/>
  <sheetViews>
    <sheetView showGridLines="0" zoomScaleNormal="100" zoomScaleSheetLayoutView="130" workbookViewId="0">
      <selection activeCell="B15" sqref="B15:I15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259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361</v>
      </c>
      <c r="B13" s="311"/>
      <c r="C13" s="306" t="s">
        <v>91</v>
      </c>
      <c r="D13" s="306"/>
      <c r="E13" s="312">
        <v>3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1534.7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1534.7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127.89166666666667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185.6987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313.59036666666668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313.59036666666668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1534.7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313.59036666666668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1848.2903666666666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369.65807333333333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46.207259166666667</v>
      </c>
    </row>
    <row r="38" spans="1:18" ht="33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110.89742199999999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27.724355499999998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18.482903666666665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11.0897422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3.6965807333333331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147.86322933333332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735.61956593333343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61.918000000000006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11.510249999999999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389.82824999999997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313.59036666666668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735.61956593333343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389.82824999999997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1439.0381826000003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$K$23*J65</f>
        <v>7.034041666666667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1" si="1">$K$23*J66</f>
        <v>0.56272333333333335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>$K$23*J67</f>
        <v>53.407560000000018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>$K$23*J68</f>
        <v>29.841388888888858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>($K$23*J69)</f>
        <v>11.876872777777768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0.9527417600000001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si="1"/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103.67532842666662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37.945735221419724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2">+(($K$23+$K$61+$K$72)-$K$44)*J77</f>
        <v>6.504983180814814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2"/>
        <v>1.9288888366944767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2"/>
        <v>7.8059798169777839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2"/>
        <v>1.0628416915199514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2"/>
        <v>38.769699757656284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3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94.018128505083027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1246.9033895317498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94.018128505083027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94.018128505083027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161.57158197658748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203.5801932905002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5.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64.962918822310698</v>
      </c>
    </row>
    <row r="111" spans="1:13" ht="19.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299.22314124215831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196.85732976457786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926.19516509613459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3596.5834147988371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3937.1465952915569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340.56318049271977</v>
      </c>
      <c r="M118" s="196"/>
      <c r="N118" s="196"/>
      <c r="O118" s="196"/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M119" s="196"/>
      <c r="N119" s="196"/>
      <c r="O119" s="196"/>
      <c r="P119" s="2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M120" s="173"/>
      <c r="N120" s="196"/>
      <c r="O120" s="19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M121" s="213"/>
      <c r="N121" s="196"/>
      <c r="O121" s="196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1534.7</v>
      </c>
      <c r="M122" s="214"/>
      <c r="N122" s="214"/>
      <c r="O122" s="215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1439.0381826000003</v>
      </c>
      <c r="M123" s="196"/>
      <c r="N123" s="196"/>
      <c r="O123" s="196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103.67532842666662</v>
      </c>
      <c r="M124" s="196"/>
      <c r="N124" s="196"/>
      <c r="O124" s="196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94.018128505083027</v>
      </c>
      <c r="M125" s="196"/>
      <c r="N125" s="196"/>
      <c r="O125" s="196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60</v>
      </c>
      <c r="M126" s="216"/>
      <c r="N126" s="216"/>
      <c r="O126" s="216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3231.4316395317496</v>
      </c>
      <c r="M127" s="216"/>
      <c r="N127" s="216"/>
      <c r="O127" s="216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926.19516509613459</v>
      </c>
      <c r="M128" s="214"/>
      <c r="N128" s="217"/>
      <c r="O128" s="215"/>
    </row>
    <row r="129" spans="1:17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4157.6268046278838</v>
      </c>
      <c r="M129" s="196"/>
      <c r="N129" s="196"/>
      <c r="O129" s="196"/>
    </row>
    <row r="130" spans="1:17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  <c r="M130" s="196"/>
      <c r="N130" s="196"/>
      <c r="O130" s="196"/>
    </row>
    <row r="131" spans="1:17" x14ac:dyDescent="0.2">
      <c r="A131" s="325" t="s">
        <v>187</v>
      </c>
      <c r="B131" s="324"/>
      <c r="C131" s="331">
        <f>K129*E13</f>
        <v>12472.880413883651</v>
      </c>
      <c r="D131" s="331"/>
      <c r="E131" s="336"/>
      <c r="F131" s="337"/>
      <c r="G131" s="337"/>
      <c r="H131" s="337"/>
      <c r="I131" s="337"/>
      <c r="J131" s="337"/>
      <c r="K131" s="338"/>
      <c r="L131" s="148"/>
      <c r="M131" s="194"/>
      <c r="N131" s="196"/>
      <c r="O131" s="196"/>
    </row>
    <row r="132" spans="1:17" x14ac:dyDescent="0.2">
      <c r="A132" s="325" t="s">
        <v>188</v>
      </c>
      <c r="B132" s="324"/>
      <c r="C132" s="331">
        <f>C131*K8</f>
        <v>149674.56496660382</v>
      </c>
      <c r="D132" s="331"/>
      <c r="E132" s="336"/>
      <c r="F132" s="337"/>
      <c r="G132" s="337"/>
      <c r="H132" s="337"/>
      <c r="I132" s="337"/>
      <c r="J132" s="337"/>
      <c r="K132" s="338"/>
      <c r="L132" s="148"/>
      <c r="M132" s="194"/>
      <c r="N132" s="196"/>
      <c r="O132" s="196"/>
    </row>
    <row r="133" spans="1:17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  <c r="M133" s="196"/>
      <c r="N133" s="196"/>
      <c r="O133" s="196"/>
    </row>
    <row r="134" spans="1:17" x14ac:dyDescent="0.2">
      <c r="M134" s="196"/>
      <c r="N134" s="196"/>
      <c r="O134" s="196"/>
    </row>
    <row r="135" spans="1:17" ht="13.5" thickBot="1" x14ac:dyDescent="0.25">
      <c r="M135" s="196"/>
      <c r="N135" s="196"/>
      <c r="O135" s="196"/>
    </row>
    <row r="136" spans="1:17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  <c r="M136" s="196"/>
      <c r="N136" s="196"/>
      <c r="O136" s="196"/>
    </row>
    <row r="137" spans="1:17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L137" s="148"/>
      <c r="M137" s="196"/>
      <c r="N137" s="196"/>
      <c r="O137" s="196"/>
    </row>
    <row r="138" spans="1:17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4157.6268046278838</v>
      </c>
      <c r="G138" s="324"/>
      <c r="H138" s="324"/>
      <c r="I138" s="346"/>
      <c r="L138" s="148"/>
      <c r="M138" s="196"/>
      <c r="N138" s="196"/>
      <c r="O138" s="196"/>
    </row>
    <row r="139" spans="1:17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241.14235466841725</v>
      </c>
      <c r="G139" s="324"/>
      <c r="H139" s="324"/>
      <c r="I139" s="346"/>
      <c r="K139" s="218"/>
      <c r="L139" s="219"/>
      <c r="M139" s="196"/>
      <c r="N139" s="196"/>
      <c r="O139" s="196"/>
      <c r="P139" s="196"/>
      <c r="Q139" s="196"/>
    </row>
    <row r="140" spans="1:17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199.56608662213841</v>
      </c>
      <c r="G140" s="306"/>
      <c r="H140" s="306"/>
      <c r="I140" s="350"/>
      <c r="K140" s="174"/>
      <c r="L140" s="173"/>
      <c r="M140" s="219"/>
      <c r="N140" s="196"/>
      <c r="O140" s="220"/>
      <c r="P140" s="196"/>
      <c r="Q140" s="196"/>
    </row>
    <row r="141" spans="1:17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41.576268046278841</v>
      </c>
      <c r="G141" s="306"/>
      <c r="H141" s="306"/>
      <c r="I141" s="350"/>
      <c r="K141" s="174"/>
      <c r="L141" s="173"/>
      <c r="M141" s="215"/>
      <c r="N141" s="196"/>
      <c r="O141" s="175"/>
      <c r="P141" s="196"/>
      <c r="Q141" s="196"/>
    </row>
    <row r="142" spans="1:17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365.15177526708771</v>
      </c>
      <c r="G142" s="324"/>
      <c r="H142" s="324"/>
      <c r="I142" s="346"/>
      <c r="K142" s="218"/>
      <c r="L142" s="196"/>
      <c r="M142" s="221"/>
      <c r="N142" s="196"/>
      <c r="O142" s="222"/>
      <c r="P142" s="196"/>
      <c r="Q142" s="196"/>
    </row>
    <row r="143" spans="1:17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161.57158197658748</v>
      </c>
      <c r="G143" s="306"/>
      <c r="H143" s="306"/>
      <c r="I143" s="350"/>
      <c r="K143" s="218"/>
      <c r="L143" s="196"/>
      <c r="M143" s="196"/>
      <c r="N143" s="196"/>
      <c r="O143" s="223"/>
      <c r="P143" s="196"/>
      <c r="Q143" s="196"/>
    </row>
    <row r="144" spans="1:17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203.5801932905002</v>
      </c>
      <c r="G144" s="306"/>
      <c r="H144" s="306"/>
      <c r="I144" s="350"/>
      <c r="K144" s="218"/>
      <c r="L144" s="196"/>
      <c r="M144" s="196"/>
      <c r="N144" s="196"/>
      <c r="O144" s="220"/>
      <c r="P144" s="196"/>
      <c r="Q144" s="196"/>
    </row>
    <row r="145" spans="1:17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124.00942059867046</v>
      </c>
      <c r="G145" s="354"/>
      <c r="H145" s="354"/>
      <c r="I145" s="355"/>
      <c r="K145" s="218"/>
      <c r="L145" s="196"/>
      <c r="M145" s="196"/>
      <c r="N145" s="196"/>
      <c r="O145" s="220"/>
      <c r="P145" s="196"/>
      <c r="Q145" s="196"/>
    </row>
  </sheetData>
  <mergeCells count="160"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45"/>
  <sheetViews>
    <sheetView showGridLines="0" zoomScaleNormal="100" zoomScaleSheetLayoutView="130" workbookViewId="0">
      <selection activeCell="K22" sqref="K22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4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4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4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4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4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4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4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4" s="114" customFormat="1" ht="11.25" x14ac:dyDescent="0.2">
      <c r="A9" s="300" t="s">
        <v>260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4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4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4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4" x14ac:dyDescent="0.2">
      <c r="A13" s="310" t="s">
        <v>356</v>
      </c>
      <c r="B13" s="311"/>
      <c r="C13" s="306" t="s">
        <v>91</v>
      </c>
      <c r="D13" s="306"/>
      <c r="E13" s="312">
        <v>6</v>
      </c>
      <c r="F13" s="312"/>
      <c r="G13" s="312"/>
      <c r="H13" s="312"/>
      <c r="I13" s="312"/>
      <c r="J13" s="312"/>
      <c r="K13" s="313"/>
      <c r="L13" s="172"/>
    </row>
    <row r="14" spans="1:14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4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1521.31</v>
      </c>
      <c r="L16" s="114"/>
      <c r="M16" s="184"/>
      <c r="N16" s="176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1521.31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126.77583333333332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184.07850999999999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310.8543433333333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310.8543433333333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1521.31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310.8543433333333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1832.1643433333334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366.43286866666671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45.804108583333338</v>
      </c>
    </row>
    <row r="38" spans="1:18" ht="32.25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109.9298606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27.482465149999999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18.321643433333335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10.99298606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3.6643286866666669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146.57314746666668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729.20140864666678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0">
        <f>+J47-(K23*6%)</f>
        <v>62.721400000000003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0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0">
        <f>K23*3%/12*3</f>
        <v>11.409825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0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0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0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390.53122500000001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310.8543433333333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729.20140864666678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390.53122500000001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1430.5869769799999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13.529527811158331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1.0823622248926665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102.72601479890402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57.397996774611045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22.8444027162952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1.8325376433091838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199.41284196917044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39.247127018790536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6.7280789175069522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1.9950422553979659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8.0736947010083515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1.0992930463606663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40.099350348341432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97.242586287405899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1336.7111802365762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97.242586287405899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97.242586287405899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165.42762026182882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208.43880152990431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1.7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66.513312146652552</v>
      </c>
    </row>
    <row r="111" spans="1:13" ht="23.25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306.3643468573087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201.55549135349258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948.29957214918693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3682.4188270283094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4031.1098270698517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348.69100004154234</v>
      </c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P119" s="2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  <c r="M120" s="89"/>
      <c r="N120" s="196"/>
      <c r="O120" s="19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  <c r="M121" s="185"/>
      <c r="N121" s="196"/>
      <c r="O121" s="196"/>
    </row>
    <row r="122" spans="1:16" ht="15" x14ac:dyDescent="0.25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1521.31</v>
      </c>
      <c r="M122" s="183"/>
      <c r="N122" s="214"/>
      <c r="O122" s="215"/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1430.5869769799999</v>
      </c>
      <c r="N123" s="196"/>
      <c r="O123" s="196"/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199.41284196917044</v>
      </c>
      <c r="N124" s="196"/>
      <c r="O124" s="196"/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97.242586287405899</v>
      </c>
      <c r="N125" s="196"/>
      <c r="O125" s="196"/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60</v>
      </c>
      <c r="M126" s="182"/>
      <c r="N126" s="216"/>
      <c r="O126" s="216"/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3308.5524052365763</v>
      </c>
      <c r="M127" s="182"/>
      <c r="N127" s="216"/>
      <c r="O127" s="216"/>
    </row>
    <row r="128" spans="1:16" ht="15" x14ac:dyDescent="0.25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948.29957214918693</v>
      </c>
      <c r="M128" s="183"/>
      <c r="N128" s="217"/>
      <c r="O128" s="215"/>
    </row>
    <row r="129" spans="1:19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4256.8519773857633</v>
      </c>
    </row>
    <row r="130" spans="1:19" x14ac:dyDescent="0.2">
      <c r="A130" s="333"/>
      <c r="B130" s="334"/>
      <c r="C130" s="334"/>
      <c r="D130" s="334"/>
      <c r="E130" s="334"/>
      <c r="F130" s="334"/>
      <c r="G130" s="334"/>
      <c r="H130" s="334"/>
      <c r="I130" s="334"/>
      <c r="J130" s="334"/>
      <c r="K130" s="335"/>
    </row>
    <row r="131" spans="1:19" x14ac:dyDescent="0.2">
      <c r="A131" s="325" t="s">
        <v>187</v>
      </c>
      <c r="B131" s="324"/>
      <c r="C131" s="331">
        <f>K129*E13</f>
        <v>25541.111864314582</v>
      </c>
      <c r="D131" s="331"/>
      <c r="E131" s="336"/>
      <c r="F131" s="337"/>
      <c r="G131" s="337"/>
      <c r="H131" s="337"/>
      <c r="I131" s="337"/>
      <c r="J131" s="337"/>
      <c r="K131" s="338"/>
      <c r="L131" s="148"/>
      <c r="M131" s="149"/>
    </row>
    <row r="132" spans="1:19" x14ac:dyDescent="0.2">
      <c r="A132" s="325" t="s">
        <v>188</v>
      </c>
      <c r="B132" s="324"/>
      <c r="C132" s="331">
        <f>C131*K8</f>
        <v>306493.34237177495</v>
      </c>
      <c r="D132" s="331"/>
      <c r="E132" s="336"/>
      <c r="F132" s="337"/>
      <c r="G132" s="337"/>
      <c r="H132" s="337"/>
      <c r="I132" s="337"/>
      <c r="J132" s="337"/>
      <c r="K132" s="338"/>
      <c r="L132" s="148"/>
      <c r="M132" s="149"/>
    </row>
    <row r="133" spans="1:19" ht="13.5" thickBot="1" x14ac:dyDescent="0.25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80"/>
    </row>
    <row r="135" spans="1:19" ht="13.5" thickBot="1" x14ac:dyDescent="0.25"/>
    <row r="136" spans="1:19" ht="13.5" thickBot="1" x14ac:dyDescent="0.25">
      <c r="A136" s="339" t="s">
        <v>223</v>
      </c>
      <c r="B136" s="340"/>
      <c r="C136" s="340"/>
      <c r="D136" s="340"/>
      <c r="E136" s="340"/>
      <c r="F136" s="340"/>
      <c r="G136" s="340"/>
      <c r="H136" s="340"/>
      <c r="I136" s="341"/>
    </row>
    <row r="137" spans="1:19" x14ac:dyDescent="0.2">
      <c r="A137" s="160" t="s">
        <v>199</v>
      </c>
      <c r="B137" s="342" t="s">
        <v>200</v>
      </c>
      <c r="C137" s="342"/>
      <c r="D137" s="342"/>
      <c r="E137" s="342"/>
      <c r="F137" s="342" t="s">
        <v>201</v>
      </c>
      <c r="G137" s="342"/>
      <c r="H137" s="342"/>
      <c r="I137" s="343"/>
      <c r="L137" s="148"/>
    </row>
    <row r="138" spans="1:19" x14ac:dyDescent="0.2">
      <c r="A138" s="133" t="s">
        <v>99</v>
      </c>
      <c r="B138" s="344" t="s">
        <v>202</v>
      </c>
      <c r="C138" s="344"/>
      <c r="D138" s="344"/>
      <c r="E138" s="344"/>
      <c r="F138" s="345">
        <f>+K129</f>
        <v>4256.8519773857633</v>
      </c>
      <c r="G138" s="324"/>
      <c r="H138" s="324"/>
      <c r="I138" s="346"/>
      <c r="K138" s="218"/>
      <c r="L138" s="219"/>
      <c r="M138" s="196"/>
      <c r="N138" s="196"/>
      <c r="O138" s="196"/>
      <c r="P138" s="196"/>
      <c r="Q138" s="196"/>
      <c r="R138" s="196"/>
      <c r="S138" s="196"/>
    </row>
    <row r="139" spans="1:19" x14ac:dyDescent="0.2">
      <c r="A139" s="133" t="s">
        <v>94</v>
      </c>
      <c r="B139" s="347" t="s">
        <v>203</v>
      </c>
      <c r="C139" s="347"/>
      <c r="D139" s="347"/>
      <c r="E139" s="347"/>
      <c r="F139" s="348">
        <f>F140+F141</f>
        <v>246.89741468837428</v>
      </c>
      <c r="G139" s="324"/>
      <c r="H139" s="324"/>
      <c r="I139" s="346"/>
      <c r="K139" s="218"/>
      <c r="L139" s="219"/>
      <c r="M139" s="196"/>
      <c r="N139" s="196"/>
      <c r="O139" s="196"/>
      <c r="P139" s="196"/>
      <c r="Q139" s="196"/>
      <c r="R139" s="196"/>
      <c r="S139" s="196"/>
    </row>
    <row r="140" spans="1:19" x14ac:dyDescent="0.2">
      <c r="A140" s="133" t="s">
        <v>204</v>
      </c>
      <c r="B140" s="344" t="s">
        <v>205</v>
      </c>
      <c r="C140" s="344"/>
      <c r="D140" s="344"/>
      <c r="E140" s="344"/>
      <c r="F140" s="349">
        <f>F138*4.8%</f>
        <v>204.32889491451664</v>
      </c>
      <c r="G140" s="306"/>
      <c r="H140" s="306"/>
      <c r="I140" s="350"/>
      <c r="K140" s="174"/>
      <c r="L140" s="173"/>
      <c r="M140" s="219"/>
      <c r="N140" s="196"/>
      <c r="O140" s="220"/>
      <c r="P140" s="196"/>
      <c r="Q140" s="196"/>
      <c r="R140" s="196"/>
      <c r="S140" s="196"/>
    </row>
    <row r="141" spans="1:19" ht="15" x14ac:dyDescent="0.25">
      <c r="A141" s="133" t="s">
        <v>206</v>
      </c>
      <c r="B141" s="344" t="s">
        <v>222</v>
      </c>
      <c r="C141" s="344"/>
      <c r="D141" s="344"/>
      <c r="E141" s="344"/>
      <c r="F141" s="349">
        <f>F138*1%</f>
        <v>42.568519773857638</v>
      </c>
      <c r="G141" s="306"/>
      <c r="H141" s="306"/>
      <c r="I141" s="350"/>
      <c r="K141" s="174"/>
      <c r="L141" s="173"/>
      <c r="M141" s="215"/>
      <c r="N141" s="196"/>
      <c r="O141" s="175"/>
      <c r="P141" s="196"/>
      <c r="Q141" s="196"/>
      <c r="R141" s="196"/>
      <c r="S141" s="196"/>
    </row>
    <row r="142" spans="1:19" x14ac:dyDescent="0.2">
      <c r="A142" s="133" t="s">
        <v>95</v>
      </c>
      <c r="B142" s="344" t="s">
        <v>207</v>
      </c>
      <c r="C142" s="344"/>
      <c r="D142" s="344"/>
      <c r="E142" s="344"/>
      <c r="F142" s="348">
        <f>F143+F144</f>
        <v>373.86642179173316</v>
      </c>
      <c r="G142" s="324"/>
      <c r="H142" s="324"/>
      <c r="I142" s="346"/>
      <c r="K142" s="218"/>
      <c r="L142" s="196"/>
      <c r="M142" s="221"/>
      <c r="N142" s="196"/>
      <c r="O142" s="222"/>
      <c r="P142" s="196"/>
      <c r="Q142" s="196"/>
      <c r="R142" s="196"/>
      <c r="S142" s="196"/>
    </row>
    <row r="143" spans="1:19" ht="15.75" x14ac:dyDescent="0.25">
      <c r="A143" s="133" t="s">
        <v>208</v>
      </c>
      <c r="B143" s="344" t="s">
        <v>209</v>
      </c>
      <c r="C143" s="344"/>
      <c r="D143" s="344"/>
      <c r="E143" s="344"/>
      <c r="F143" s="351">
        <f>+K107</f>
        <v>165.42762026182882</v>
      </c>
      <c r="G143" s="306"/>
      <c r="H143" s="306"/>
      <c r="I143" s="350"/>
      <c r="K143" s="218"/>
      <c r="L143" s="196"/>
      <c r="M143" s="196"/>
      <c r="N143" s="196"/>
      <c r="O143" s="223"/>
      <c r="P143" s="196"/>
      <c r="Q143" s="196"/>
      <c r="R143" s="196"/>
      <c r="S143" s="196"/>
    </row>
    <row r="144" spans="1:19" x14ac:dyDescent="0.2">
      <c r="A144" s="133" t="s">
        <v>210</v>
      </c>
      <c r="B144" s="344" t="s">
        <v>211</v>
      </c>
      <c r="C144" s="344"/>
      <c r="D144" s="344"/>
      <c r="E144" s="344"/>
      <c r="F144" s="351">
        <f>+K108</f>
        <v>208.43880152990431</v>
      </c>
      <c r="G144" s="306"/>
      <c r="H144" s="306"/>
      <c r="I144" s="350"/>
      <c r="K144" s="218"/>
      <c r="L144" s="196"/>
      <c r="M144" s="196"/>
      <c r="N144" s="196"/>
      <c r="O144" s="220"/>
      <c r="P144" s="196"/>
      <c r="Q144" s="196"/>
      <c r="R144" s="196"/>
      <c r="S144" s="196"/>
    </row>
    <row r="145" spans="1:19" ht="42" customHeight="1" thickBot="1" x14ac:dyDescent="0.25">
      <c r="A145" s="161" t="s">
        <v>96</v>
      </c>
      <c r="B145" s="352" t="s">
        <v>212</v>
      </c>
      <c r="C145" s="352"/>
      <c r="D145" s="352"/>
      <c r="E145" s="352"/>
      <c r="F145" s="353">
        <f>+F142-F139</f>
        <v>126.96900710335888</v>
      </c>
      <c r="G145" s="354"/>
      <c r="H145" s="354"/>
      <c r="I145" s="355"/>
      <c r="K145" s="218"/>
      <c r="L145" s="196"/>
      <c r="M145" s="196"/>
      <c r="N145" s="196"/>
      <c r="O145" s="220"/>
      <c r="P145" s="196"/>
      <c r="Q145" s="196"/>
      <c r="R145" s="196"/>
      <c r="S145" s="196"/>
    </row>
  </sheetData>
  <mergeCells count="160"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showGridLines="0" zoomScaleNormal="100" zoomScaleSheetLayoutView="130" workbookViewId="0">
      <selection activeCell="K22" sqref="K22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15.42578125" style="113" customWidth="1"/>
    <col min="12" max="12" width="17.140625" customWidth="1"/>
    <col min="13" max="13" width="14.28515625" bestFit="1" customWidth="1"/>
    <col min="14" max="16" width="12.140625" bestFit="1" customWidth="1"/>
  </cols>
  <sheetData>
    <row r="1" spans="1:12" s="114" customFormat="1" ht="11.25" x14ac:dyDescent="0.2">
      <c r="A1" s="281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2" s="114" customFormat="1" ht="43.5" customHeight="1" x14ac:dyDescent="0.2">
      <c r="A2" s="284" t="s">
        <v>310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2" s="114" customFormat="1" ht="11.25" customHeight="1" x14ac:dyDescent="0.2">
      <c r="A3" s="287" t="s">
        <v>196</v>
      </c>
      <c r="B3" s="288"/>
      <c r="C3" s="288"/>
      <c r="D3" s="288"/>
      <c r="E3" s="288"/>
      <c r="F3" s="288"/>
      <c r="G3" s="288"/>
      <c r="H3" s="288"/>
      <c r="I3" s="288"/>
      <c r="J3" s="289"/>
      <c r="K3" s="159"/>
    </row>
    <row r="4" spans="1:12" s="114" customFormat="1" ht="11.25" customHeight="1" x14ac:dyDescent="0.2">
      <c r="A4" s="287" t="s">
        <v>197</v>
      </c>
      <c r="B4" s="288"/>
      <c r="C4" s="288"/>
      <c r="D4" s="288"/>
      <c r="E4" s="288"/>
      <c r="F4" s="288"/>
      <c r="G4" s="288"/>
      <c r="H4" s="288"/>
      <c r="I4" s="288"/>
      <c r="J4" s="289"/>
      <c r="K4" s="159"/>
    </row>
    <row r="5" spans="1:12" s="114" customFormat="1" ht="11.25" x14ac:dyDescent="0.2">
      <c r="A5" s="157" t="s">
        <v>99</v>
      </c>
      <c r="B5" s="290" t="s">
        <v>189</v>
      </c>
      <c r="C5" s="290"/>
      <c r="D5" s="290"/>
      <c r="E5" s="290"/>
      <c r="F5" s="290"/>
      <c r="G5" s="290"/>
      <c r="H5" s="290"/>
      <c r="I5" s="290"/>
      <c r="J5" s="290"/>
      <c r="K5" s="235">
        <v>45504</v>
      </c>
    </row>
    <row r="6" spans="1:12" s="114" customFormat="1" ht="11.25" x14ac:dyDescent="0.2">
      <c r="A6" s="157" t="s">
        <v>94</v>
      </c>
      <c r="B6" s="290" t="s">
        <v>190</v>
      </c>
      <c r="C6" s="290"/>
      <c r="D6" s="290"/>
      <c r="E6" s="290"/>
      <c r="F6" s="290"/>
      <c r="G6" s="290"/>
      <c r="H6" s="290"/>
      <c r="I6" s="290"/>
      <c r="J6" s="290"/>
      <c r="K6" s="159" t="s">
        <v>312</v>
      </c>
    </row>
    <row r="7" spans="1:12" s="114" customFormat="1" ht="11.25" x14ac:dyDescent="0.2">
      <c r="A7" s="157" t="s">
        <v>95</v>
      </c>
      <c r="B7" s="290" t="s">
        <v>195</v>
      </c>
      <c r="C7" s="290"/>
      <c r="D7" s="290"/>
      <c r="E7" s="290"/>
      <c r="F7" s="290"/>
      <c r="G7" s="290"/>
      <c r="H7" s="290"/>
      <c r="I7" s="290"/>
      <c r="J7" s="290"/>
      <c r="K7" s="159" t="s">
        <v>311</v>
      </c>
    </row>
    <row r="8" spans="1:12" s="114" customFormat="1" ht="11.25" x14ac:dyDescent="0.2">
      <c r="A8" s="157" t="s">
        <v>96</v>
      </c>
      <c r="B8" s="290" t="s">
        <v>191</v>
      </c>
      <c r="C8" s="290"/>
      <c r="D8" s="290"/>
      <c r="E8" s="290"/>
      <c r="F8" s="290"/>
      <c r="G8" s="290"/>
      <c r="H8" s="290"/>
      <c r="I8" s="290"/>
      <c r="J8" s="290"/>
      <c r="K8" s="159">
        <v>12</v>
      </c>
    </row>
    <row r="9" spans="1:12" s="114" customFormat="1" ht="11.25" x14ac:dyDescent="0.2">
      <c r="A9" s="300" t="s">
        <v>261</v>
      </c>
      <c r="B9" s="288"/>
      <c r="C9" s="288"/>
      <c r="D9" s="288"/>
      <c r="E9" s="288"/>
      <c r="F9" s="288"/>
      <c r="G9" s="288"/>
      <c r="H9" s="288"/>
      <c r="I9" s="288"/>
      <c r="J9" s="288"/>
      <c r="K9" s="301"/>
    </row>
    <row r="10" spans="1:12" ht="12" customHeight="1" x14ac:dyDescent="0.2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9"/>
    </row>
    <row r="11" spans="1:12" ht="12.6" customHeight="1" x14ac:dyDescent="0.2">
      <c r="A11" s="302" t="s">
        <v>88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2" ht="12" customHeight="1" x14ac:dyDescent="0.2">
      <c r="A12" s="305" t="s">
        <v>89</v>
      </c>
      <c r="B12" s="306"/>
      <c r="C12" s="306" t="s">
        <v>90</v>
      </c>
      <c r="D12" s="306"/>
      <c r="E12" s="307" t="s">
        <v>92</v>
      </c>
      <c r="F12" s="308"/>
      <c r="G12" s="308"/>
      <c r="H12" s="308"/>
      <c r="I12" s="308"/>
      <c r="J12" s="308"/>
      <c r="K12" s="309"/>
    </row>
    <row r="13" spans="1:12" x14ac:dyDescent="0.2">
      <c r="A13" s="310" t="s">
        <v>357</v>
      </c>
      <c r="B13" s="311"/>
      <c r="C13" s="306" t="s">
        <v>91</v>
      </c>
      <c r="D13" s="306"/>
      <c r="E13" s="312">
        <v>4</v>
      </c>
      <c r="F13" s="312"/>
      <c r="G13" s="312"/>
      <c r="H13" s="312"/>
      <c r="I13" s="312"/>
      <c r="J13" s="312"/>
      <c r="K13" s="313"/>
    </row>
    <row r="14" spans="1:12" ht="12" customHeight="1" x14ac:dyDescent="0.2">
      <c r="A14" s="302" t="s">
        <v>108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4"/>
    </row>
    <row r="15" spans="1:12" ht="12.6" customHeight="1" x14ac:dyDescent="0.2">
      <c r="A15" s="153">
        <v>1</v>
      </c>
      <c r="B15" s="294" t="s">
        <v>98</v>
      </c>
      <c r="C15" s="295"/>
      <c r="D15" s="295"/>
      <c r="E15" s="295"/>
      <c r="F15" s="295"/>
      <c r="G15" s="295"/>
      <c r="H15" s="295"/>
      <c r="I15" s="296"/>
      <c r="J15" s="118" t="s">
        <v>2</v>
      </c>
      <c r="K15" s="128" t="s">
        <v>93</v>
      </c>
    </row>
    <row r="16" spans="1:12" ht="12" customHeight="1" x14ac:dyDescent="0.2">
      <c r="A16" s="133" t="s">
        <v>99</v>
      </c>
      <c r="B16" s="290" t="s">
        <v>102</v>
      </c>
      <c r="C16" s="290"/>
      <c r="D16" s="290"/>
      <c r="E16" s="290"/>
      <c r="F16" s="290"/>
      <c r="G16" s="290"/>
      <c r="H16" s="290"/>
      <c r="I16" s="290"/>
      <c r="J16" s="116"/>
      <c r="K16" s="129">
        <v>1672.72</v>
      </c>
      <c r="L16" s="114"/>
    </row>
    <row r="17" spans="1:18" ht="12" customHeight="1" x14ac:dyDescent="0.2">
      <c r="A17" s="133" t="s">
        <v>94</v>
      </c>
      <c r="B17" s="290" t="s">
        <v>103</v>
      </c>
      <c r="C17" s="290"/>
      <c r="D17" s="290"/>
      <c r="E17" s="290"/>
      <c r="F17" s="290"/>
      <c r="G17" s="290"/>
      <c r="H17" s="290"/>
      <c r="I17" s="290"/>
      <c r="J17" s="112"/>
      <c r="K17" s="129">
        <v>0</v>
      </c>
    </row>
    <row r="18" spans="1:18" ht="12" customHeight="1" x14ac:dyDescent="0.2">
      <c r="A18" s="133" t="s">
        <v>95</v>
      </c>
      <c r="B18" s="290" t="s">
        <v>104</v>
      </c>
      <c r="C18" s="290"/>
      <c r="D18" s="290"/>
      <c r="E18" s="290"/>
      <c r="F18" s="290"/>
      <c r="G18" s="290"/>
      <c r="H18" s="290"/>
      <c r="I18" s="290"/>
      <c r="J18" s="112"/>
      <c r="K18" s="129">
        <v>0</v>
      </c>
    </row>
    <row r="19" spans="1:18" ht="12" customHeight="1" x14ac:dyDescent="0.2">
      <c r="A19" s="133" t="s">
        <v>96</v>
      </c>
      <c r="B19" s="290" t="s">
        <v>105</v>
      </c>
      <c r="C19" s="290"/>
      <c r="D19" s="290"/>
      <c r="E19" s="290"/>
      <c r="F19" s="290"/>
      <c r="G19" s="290"/>
      <c r="H19" s="290"/>
      <c r="I19" s="290"/>
      <c r="J19" s="112"/>
      <c r="K19" s="129">
        <v>0</v>
      </c>
    </row>
    <row r="20" spans="1:18" ht="12" customHeight="1" x14ac:dyDescent="0.2">
      <c r="A20" s="133" t="s">
        <v>97</v>
      </c>
      <c r="B20" s="290" t="s">
        <v>106</v>
      </c>
      <c r="C20" s="290"/>
      <c r="D20" s="290"/>
      <c r="E20" s="290"/>
      <c r="F20" s="290"/>
      <c r="G20" s="290"/>
      <c r="H20" s="290"/>
      <c r="I20" s="290"/>
      <c r="J20" s="112"/>
      <c r="K20" s="129">
        <v>0</v>
      </c>
    </row>
    <row r="21" spans="1:18" ht="12" customHeight="1" x14ac:dyDescent="0.2">
      <c r="A21" s="133" t="s">
        <v>100</v>
      </c>
      <c r="B21" s="290" t="s">
        <v>113</v>
      </c>
      <c r="C21" s="290"/>
      <c r="D21" s="290"/>
      <c r="E21" s="290"/>
      <c r="F21" s="290"/>
      <c r="G21" s="290"/>
      <c r="H21" s="290"/>
      <c r="I21" s="290"/>
      <c r="J21" s="112"/>
      <c r="K21" s="129">
        <v>0</v>
      </c>
    </row>
    <row r="22" spans="1:18" ht="12" customHeight="1" x14ac:dyDescent="0.2">
      <c r="A22" s="133" t="s">
        <v>101</v>
      </c>
      <c r="B22" s="290" t="s">
        <v>107</v>
      </c>
      <c r="C22" s="290"/>
      <c r="D22" s="290"/>
      <c r="E22" s="290"/>
      <c r="F22" s="290"/>
      <c r="G22" s="290"/>
      <c r="H22" s="290"/>
      <c r="I22" s="290"/>
      <c r="J22" s="117"/>
      <c r="K22" s="130">
        <v>0</v>
      </c>
    </row>
    <row r="23" spans="1:18" ht="12" customHeight="1" x14ac:dyDescent="0.2">
      <c r="A23" s="314" t="s">
        <v>109</v>
      </c>
      <c r="B23" s="315"/>
      <c r="C23" s="315"/>
      <c r="D23" s="315"/>
      <c r="E23" s="315"/>
      <c r="F23" s="315"/>
      <c r="G23" s="315"/>
      <c r="H23" s="315"/>
      <c r="I23" s="315"/>
      <c r="J23" s="316"/>
      <c r="K23" s="142">
        <f>SUM(K16:K22)</f>
        <v>1672.72</v>
      </c>
      <c r="M23" s="4"/>
      <c r="N23" s="4"/>
    </row>
    <row r="24" spans="1:18" x14ac:dyDescent="0.2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9"/>
      <c r="M24" s="111"/>
      <c r="N24" s="2"/>
    </row>
    <row r="25" spans="1:18" ht="12" customHeight="1" x14ac:dyDescent="0.2">
      <c r="A25" s="302" t="s">
        <v>114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  <c r="N25" s="2"/>
    </row>
    <row r="26" spans="1:18" ht="12" customHeight="1" x14ac:dyDescent="0.2">
      <c r="A26" s="153" t="s">
        <v>115</v>
      </c>
      <c r="B26" s="320" t="s">
        <v>110</v>
      </c>
      <c r="C26" s="315"/>
      <c r="D26" s="315"/>
      <c r="E26" s="315"/>
      <c r="F26" s="315"/>
      <c r="G26" s="315"/>
      <c r="H26" s="315"/>
      <c r="I26" s="316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291" t="s">
        <v>111</v>
      </c>
      <c r="C27" s="292"/>
      <c r="D27" s="292"/>
      <c r="E27" s="292"/>
      <c r="F27" s="292"/>
      <c r="G27" s="292"/>
      <c r="H27" s="292"/>
      <c r="I27" s="293"/>
      <c r="J27" s="141">
        <f>1*(1/12)</f>
        <v>8.3333333333333329E-2</v>
      </c>
      <c r="K27" s="132">
        <f>$K$23*J27</f>
        <v>139.39333333333332</v>
      </c>
      <c r="M27" s="4"/>
      <c r="N27" s="2"/>
    </row>
    <row r="28" spans="1:18" ht="12" customHeight="1" x14ac:dyDescent="0.2">
      <c r="A28" s="133" t="s">
        <v>94</v>
      </c>
      <c r="B28" s="291" t="s">
        <v>221</v>
      </c>
      <c r="C28" s="292"/>
      <c r="D28" s="292"/>
      <c r="E28" s="292"/>
      <c r="F28" s="292"/>
      <c r="G28" s="292"/>
      <c r="H28" s="292"/>
      <c r="I28" s="293"/>
      <c r="J28" s="120">
        <f>3.025%+9.075%</f>
        <v>0.121</v>
      </c>
      <c r="K28" s="132">
        <f>$K$16*J28</f>
        <v>202.39912000000001</v>
      </c>
      <c r="L28" s="145"/>
      <c r="M28" s="4"/>
      <c r="O28" s="4"/>
    </row>
    <row r="29" spans="1:18" ht="12" customHeight="1" x14ac:dyDescent="0.2">
      <c r="A29" s="133"/>
      <c r="B29" s="321" t="s">
        <v>112</v>
      </c>
      <c r="C29" s="322"/>
      <c r="D29" s="322"/>
      <c r="E29" s="322"/>
      <c r="F29" s="322"/>
      <c r="G29" s="322"/>
      <c r="H29" s="322"/>
      <c r="I29" s="323"/>
      <c r="J29" s="121">
        <f>SUM(J27:J28)</f>
        <v>0.20433333333333331</v>
      </c>
      <c r="K29" s="131">
        <f>SUM(K27:K28)</f>
        <v>341.79245333333336</v>
      </c>
      <c r="L29" s="168"/>
      <c r="M29" s="4"/>
    </row>
    <row r="30" spans="1:18" x14ac:dyDescent="0.2">
      <c r="A30" s="314" t="s">
        <v>117</v>
      </c>
      <c r="B30" s="315"/>
      <c r="C30" s="315"/>
      <c r="D30" s="315"/>
      <c r="E30" s="315"/>
      <c r="F30" s="315"/>
      <c r="G30" s="315"/>
      <c r="H30" s="315"/>
      <c r="I30" s="315"/>
      <c r="J30" s="316"/>
      <c r="K30" s="131">
        <f>K29</f>
        <v>341.79245333333336</v>
      </c>
      <c r="M30" s="167"/>
      <c r="N30" s="111"/>
      <c r="O30" s="4"/>
    </row>
    <row r="31" spans="1:18" x14ac:dyDescent="0.2">
      <c r="A31" s="314"/>
      <c r="B31" s="315"/>
      <c r="C31" s="315"/>
      <c r="D31" s="315"/>
      <c r="E31" s="315"/>
      <c r="F31" s="315"/>
      <c r="G31" s="315"/>
      <c r="H31" s="315"/>
      <c r="I31" s="316"/>
      <c r="J31" s="154" t="s">
        <v>118</v>
      </c>
      <c r="K31" s="142">
        <f>K23</f>
        <v>1672.72</v>
      </c>
      <c r="M31" s="111"/>
    </row>
    <row r="32" spans="1:18" ht="12" customHeight="1" x14ac:dyDescent="0.2">
      <c r="A32" s="314"/>
      <c r="B32" s="315"/>
      <c r="C32" s="315"/>
      <c r="D32" s="315"/>
      <c r="E32" s="315"/>
      <c r="F32" s="315"/>
      <c r="G32" s="315"/>
      <c r="H32" s="315"/>
      <c r="I32" s="316"/>
      <c r="J32" s="155" t="s">
        <v>119</v>
      </c>
      <c r="K32" s="144">
        <f>K30</f>
        <v>341.79245333333336</v>
      </c>
      <c r="R32" s="4"/>
    </row>
    <row r="33" spans="1:18" ht="12" customHeight="1" x14ac:dyDescent="0.2">
      <c r="A33" s="325"/>
      <c r="B33" s="324"/>
      <c r="C33" s="324"/>
      <c r="D33" s="324"/>
      <c r="E33" s="324"/>
      <c r="F33" s="324"/>
      <c r="G33" s="324"/>
      <c r="H33" s="324"/>
      <c r="I33" s="324"/>
      <c r="J33" s="123" t="s">
        <v>33</v>
      </c>
      <c r="K33" s="143">
        <f>K31+K32</f>
        <v>2014.5124533333333</v>
      </c>
      <c r="R33" s="4"/>
    </row>
    <row r="34" spans="1:18" ht="12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26"/>
      <c r="R34" s="4"/>
    </row>
    <row r="35" spans="1:18" ht="12" customHeight="1" x14ac:dyDescent="0.2">
      <c r="A35" s="153" t="s">
        <v>120</v>
      </c>
      <c r="B35" s="324" t="s">
        <v>121</v>
      </c>
      <c r="C35" s="324"/>
      <c r="D35" s="324"/>
      <c r="E35" s="324"/>
      <c r="F35" s="324"/>
      <c r="G35" s="324"/>
      <c r="H35" s="324"/>
      <c r="I35" s="32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291" t="s">
        <v>1</v>
      </c>
      <c r="C36" s="292"/>
      <c r="D36" s="292"/>
      <c r="E36" s="292"/>
      <c r="F36" s="292"/>
      <c r="G36" s="292"/>
      <c r="H36" s="292"/>
      <c r="I36" s="293"/>
      <c r="J36" s="120">
        <v>0.2</v>
      </c>
      <c r="K36" s="132">
        <f>J36*$K$33</f>
        <v>402.90249066666667</v>
      </c>
    </row>
    <row r="37" spans="1:18" ht="12" customHeight="1" x14ac:dyDescent="0.2">
      <c r="A37" s="133" t="s">
        <v>94</v>
      </c>
      <c r="B37" s="291" t="s">
        <v>123</v>
      </c>
      <c r="C37" s="292"/>
      <c r="D37" s="292"/>
      <c r="E37" s="292"/>
      <c r="F37" s="292"/>
      <c r="G37" s="292"/>
      <c r="H37" s="292"/>
      <c r="I37" s="293"/>
      <c r="J37" s="120">
        <v>2.5000000000000001E-2</v>
      </c>
      <c r="K37" s="132">
        <f>J37*$K$33</f>
        <v>50.362811333333333</v>
      </c>
    </row>
    <row r="38" spans="1:18" ht="31.5" customHeight="1" x14ac:dyDescent="0.2">
      <c r="A38" s="133" t="s">
        <v>95</v>
      </c>
      <c r="B38" s="287" t="s">
        <v>313</v>
      </c>
      <c r="C38" s="288"/>
      <c r="D38" s="288"/>
      <c r="E38" s="288"/>
      <c r="F38" s="288"/>
      <c r="G38" s="288"/>
      <c r="H38" s="288"/>
      <c r="I38" s="289"/>
      <c r="J38" s="236">
        <f>3*2%</f>
        <v>0.06</v>
      </c>
      <c r="K38" s="132">
        <f t="shared" ref="K38:K43" si="0">J38*$K$33</f>
        <v>120.8707472</v>
      </c>
    </row>
    <row r="39" spans="1:18" ht="12" customHeight="1" x14ac:dyDescent="0.2">
      <c r="A39" s="133" t="s">
        <v>96</v>
      </c>
      <c r="B39" s="291" t="s">
        <v>124</v>
      </c>
      <c r="C39" s="292"/>
      <c r="D39" s="292"/>
      <c r="E39" s="292"/>
      <c r="F39" s="292"/>
      <c r="G39" s="292"/>
      <c r="H39" s="292"/>
      <c r="I39" s="293"/>
      <c r="J39" s="120">
        <v>1.4999999999999999E-2</v>
      </c>
      <c r="K39" s="132">
        <f t="shared" si="0"/>
        <v>30.217686799999999</v>
      </c>
      <c r="M39" s="2"/>
    </row>
    <row r="40" spans="1:18" ht="12" customHeight="1" x14ac:dyDescent="0.2">
      <c r="A40" s="133" t="s">
        <v>97</v>
      </c>
      <c r="B40" s="291" t="s">
        <v>125</v>
      </c>
      <c r="C40" s="292"/>
      <c r="D40" s="292"/>
      <c r="E40" s="292"/>
      <c r="F40" s="292"/>
      <c r="G40" s="292"/>
      <c r="H40" s="292"/>
      <c r="I40" s="293"/>
      <c r="J40" s="120">
        <v>0.01</v>
      </c>
      <c r="K40" s="132">
        <f t="shared" si="0"/>
        <v>20.145124533333334</v>
      </c>
      <c r="M40" s="2"/>
    </row>
    <row r="41" spans="1:18" ht="12" customHeight="1" x14ac:dyDescent="0.2">
      <c r="A41" s="133" t="s">
        <v>100</v>
      </c>
      <c r="B41" s="291" t="s">
        <v>4</v>
      </c>
      <c r="C41" s="292"/>
      <c r="D41" s="292"/>
      <c r="E41" s="292"/>
      <c r="F41" s="292"/>
      <c r="G41" s="292"/>
      <c r="H41" s="292"/>
      <c r="I41" s="293"/>
      <c r="J41" s="122">
        <v>6.0000000000000001E-3</v>
      </c>
      <c r="K41" s="132">
        <f t="shared" si="0"/>
        <v>12.08707472</v>
      </c>
      <c r="L41" s="115"/>
    </row>
    <row r="42" spans="1:18" ht="12" customHeight="1" x14ac:dyDescent="0.2">
      <c r="A42" s="133" t="s">
        <v>101</v>
      </c>
      <c r="B42" s="291" t="s">
        <v>3</v>
      </c>
      <c r="C42" s="292"/>
      <c r="D42" s="292"/>
      <c r="E42" s="292"/>
      <c r="F42" s="292"/>
      <c r="G42" s="292"/>
      <c r="H42" s="292"/>
      <c r="I42" s="293"/>
      <c r="J42" s="120">
        <v>2E-3</v>
      </c>
      <c r="K42" s="132">
        <f t="shared" si="0"/>
        <v>4.0290249066666668</v>
      </c>
    </row>
    <row r="43" spans="1:18" ht="12" customHeight="1" x14ac:dyDescent="0.2">
      <c r="A43" s="133" t="s">
        <v>122</v>
      </c>
      <c r="B43" s="291" t="s">
        <v>0</v>
      </c>
      <c r="C43" s="292"/>
      <c r="D43" s="292"/>
      <c r="E43" s="292"/>
      <c r="F43" s="292"/>
      <c r="G43" s="292"/>
      <c r="H43" s="292"/>
      <c r="I43" s="293"/>
      <c r="J43" s="120">
        <v>0.08</v>
      </c>
      <c r="K43" s="132">
        <f t="shared" si="0"/>
        <v>161.16099626666667</v>
      </c>
    </row>
    <row r="44" spans="1:18" x14ac:dyDescent="0.2">
      <c r="A44" s="325" t="s">
        <v>126</v>
      </c>
      <c r="B44" s="324"/>
      <c r="C44" s="324"/>
      <c r="D44" s="324"/>
      <c r="E44" s="324"/>
      <c r="F44" s="324"/>
      <c r="G44" s="324"/>
      <c r="H44" s="324"/>
      <c r="I44" s="324"/>
      <c r="J44" s="119">
        <f>SUM(J36:J43)</f>
        <v>0.39800000000000008</v>
      </c>
      <c r="K44" s="142">
        <f>SUM(K36:K43)</f>
        <v>801.77595642666677</v>
      </c>
    </row>
    <row r="45" spans="1:18" ht="12" customHeight="1" x14ac:dyDescent="0.2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26"/>
    </row>
    <row r="46" spans="1:18" ht="12" customHeight="1" x14ac:dyDescent="0.2">
      <c r="A46" s="153" t="s">
        <v>127</v>
      </c>
      <c r="B46" s="324" t="s">
        <v>128</v>
      </c>
      <c r="C46" s="324"/>
      <c r="D46" s="324"/>
      <c r="E46" s="324"/>
      <c r="F46" s="324"/>
      <c r="G46" s="324"/>
      <c r="H46" s="324"/>
      <c r="I46" s="324"/>
      <c r="J46" s="123"/>
      <c r="K46" s="134" t="s">
        <v>93</v>
      </c>
    </row>
    <row r="47" spans="1:18" x14ac:dyDescent="0.2">
      <c r="A47" s="133" t="s">
        <v>99</v>
      </c>
      <c r="B47" s="290" t="s">
        <v>130</v>
      </c>
      <c r="C47" s="290"/>
      <c r="D47" s="290"/>
      <c r="E47" s="290"/>
      <c r="F47" s="290"/>
      <c r="G47" s="290"/>
      <c r="H47" s="290"/>
      <c r="I47" s="290"/>
      <c r="J47" s="112">
        <f>22*2*3.5</f>
        <v>154</v>
      </c>
      <c r="K47" s="151">
        <f>+J47-(K23*6%)</f>
        <v>53.636800000000008</v>
      </c>
      <c r="M47" s="111"/>
    </row>
    <row r="48" spans="1:18" ht="12" customHeight="1" x14ac:dyDescent="0.2">
      <c r="A48" s="133" t="s">
        <v>94</v>
      </c>
      <c r="B48" s="290" t="s">
        <v>198</v>
      </c>
      <c r="C48" s="290"/>
      <c r="D48" s="290"/>
      <c r="E48" s="290"/>
      <c r="F48" s="290"/>
      <c r="G48" s="290"/>
      <c r="H48" s="290"/>
      <c r="I48" s="290"/>
      <c r="J48" s="112">
        <v>252</v>
      </c>
      <c r="K48" s="151">
        <f>+J48-2</f>
        <v>250</v>
      </c>
    </row>
    <row r="49" spans="1:13" ht="12" customHeight="1" x14ac:dyDescent="0.2">
      <c r="A49" s="133" t="s">
        <v>95</v>
      </c>
      <c r="B49" s="290" t="s">
        <v>131</v>
      </c>
      <c r="C49" s="290"/>
      <c r="D49" s="290"/>
      <c r="E49" s="290"/>
      <c r="F49" s="290"/>
      <c r="G49" s="290"/>
      <c r="H49" s="290"/>
      <c r="I49" s="290"/>
      <c r="J49" s="120"/>
      <c r="K49" s="151">
        <v>18</v>
      </c>
    </row>
    <row r="50" spans="1:13" x14ac:dyDescent="0.2">
      <c r="A50" s="133" t="s">
        <v>96</v>
      </c>
      <c r="B50" s="290" t="s">
        <v>132</v>
      </c>
      <c r="C50" s="290"/>
      <c r="D50" s="290"/>
      <c r="E50" s="290"/>
      <c r="F50" s="290"/>
      <c r="G50" s="290"/>
      <c r="H50" s="290"/>
      <c r="I50" s="290"/>
      <c r="J50" s="162">
        <v>0.03</v>
      </c>
      <c r="K50" s="151">
        <f>K23*3%/12*3</f>
        <v>12.545400000000001</v>
      </c>
    </row>
    <row r="51" spans="1:13" ht="12" customHeight="1" x14ac:dyDescent="0.2">
      <c r="A51" s="133" t="s">
        <v>97</v>
      </c>
      <c r="B51" s="290" t="s">
        <v>133</v>
      </c>
      <c r="C51" s="290"/>
      <c r="D51" s="290"/>
      <c r="E51" s="290"/>
      <c r="F51" s="290"/>
      <c r="G51" s="290"/>
      <c r="H51" s="290"/>
      <c r="I51" s="290"/>
      <c r="J51" s="122"/>
      <c r="K51" s="151">
        <v>48</v>
      </c>
    </row>
    <row r="52" spans="1:13" ht="12" customHeight="1" x14ac:dyDescent="0.2">
      <c r="A52" s="133" t="s">
        <v>100</v>
      </c>
      <c r="B52" s="290" t="s">
        <v>134</v>
      </c>
      <c r="C52" s="290"/>
      <c r="D52" s="290"/>
      <c r="E52" s="290"/>
      <c r="F52" s="290"/>
      <c r="G52" s="290"/>
      <c r="H52" s="290"/>
      <c r="I52" s="290"/>
      <c r="J52" s="120"/>
      <c r="K52" s="151">
        <v>0</v>
      </c>
    </row>
    <row r="53" spans="1:13" ht="12" customHeight="1" x14ac:dyDescent="0.2">
      <c r="A53" s="133" t="s">
        <v>101</v>
      </c>
      <c r="B53" s="290" t="s">
        <v>135</v>
      </c>
      <c r="C53" s="290"/>
      <c r="D53" s="290"/>
      <c r="E53" s="290"/>
      <c r="F53" s="290"/>
      <c r="G53" s="290"/>
      <c r="H53" s="290"/>
      <c r="I53" s="290"/>
      <c r="J53" s="171">
        <v>0.4</v>
      </c>
      <c r="K53" s="151">
        <f>+J53</f>
        <v>0.4</v>
      </c>
      <c r="M53" s="170"/>
    </row>
    <row r="54" spans="1:13" x14ac:dyDescent="0.2">
      <c r="A54" s="314" t="s">
        <v>129</v>
      </c>
      <c r="B54" s="315"/>
      <c r="C54" s="315"/>
      <c r="D54" s="315"/>
      <c r="E54" s="315"/>
      <c r="F54" s="315"/>
      <c r="G54" s="315"/>
      <c r="H54" s="315"/>
      <c r="I54" s="315"/>
      <c r="J54" s="316"/>
      <c r="K54" s="142">
        <f>SUM(K47:K53)</f>
        <v>382.58219999999994</v>
      </c>
    </row>
    <row r="55" spans="1:13" x14ac:dyDescent="0.2">
      <c r="A55" s="317"/>
      <c r="B55" s="318"/>
      <c r="C55" s="318"/>
      <c r="D55" s="318"/>
      <c r="E55" s="318"/>
      <c r="F55" s="318"/>
      <c r="G55" s="318"/>
      <c r="H55" s="318"/>
      <c r="I55" s="318"/>
      <c r="J55" s="318"/>
      <c r="K55" s="319"/>
    </row>
    <row r="56" spans="1:13" ht="12" customHeight="1" x14ac:dyDescent="0.2">
      <c r="A56" s="314" t="s">
        <v>136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26"/>
    </row>
    <row r="57" spans="1:13" ht="12" customHeight="1" x14ac:dyDescent="0.2">
      <c r="A57" s="314" t="s">
        <v>137</v>
      </c>
      <c r="B57" s="315"/>
      <c r="C57" s="315"/>
      <c r="D57" s="315"/>
      <c r="E57" s="315"/>
      <c r="F57" s="315"/>
      <c r="G57" s="315"/>
      <c r="H57" s="315"/>
      <c r="I57" s="315"/>
      <c r="J57" s="316"/>
      <c r="K57" s="128" t="s">
        <v>93</v>
      </c>
    </row>
    <row r="58" spans="1:13" ht="12" customHeight="1" x14ac:dyDescent="0.2">
      <c r="A58" s="153" t="s">
        <v>115</v>
      </c>
      <c r="B58" s="291" t="s">
        <v>138</v>
      </c>
      <c r="C58" s="292"/>
      <c r="D58" s="292"/>
      <c r="E58" s="292"/>
      <c r="F58" s="292"/>
      <c r="G58" s="292"/>
      <c r="H58" s="292"/>
      <c r="I58" s="292"/>
      <c r="J58" s="293"/>
      <c r="K58" s="132">
        <f>K29</f>
        <v>341.79245333333336</v>
      </c>
    </row>
    <row r="59" spans="1:13" ht="12" customHeight="1" x14ac:dyDescent="0.2">
      <c r="A59" s="153" t="s">
        <v>120</v>
      </c>
      <c r="B59" s="291" t="s">
        <v>139</v>
      </c>
      <c r="C59" s="292"/>
      <c r="D59" s="292"/>
      <c r="E59" s="292"/>
      <c r="F59" s="292"/>
      <c r="G59" s="292"/>
      <c r="H59" s="292"/>
      <c r="I59" s="292"/>
      <c r="J59" s="293"/>
      <c r="K59" s="132">
        <f>K44</f>
        <v>801.77595642666677</v>
      </c>
    </row>
    <row r="60" spans="1:13" x14ac:dyDescent="0.2">
      <c r="A60" s="153" t="s">
        <v>127</v>
      </c>
      <c r="B60" s="291" t="s">
        <v>140</v>
      </c>
      <c r="C60" s="292"/>
      <c r="D60" s="292"/>
      <c r="E60" s="292"/>
      <c r="F60" s="292"/>
      <c r="G60" s="292"/>
      <c r="H60" s="292"/>
      <c r="I60" s="292"/>
      <c r="J60" s="293"/>
      <c r="K60" s="132">
        <f>K54</f>
        <v>382.58219999999994</v>
      </c>
    </row>
    <row r="61" spans="1:13" x14ac:dyDescent="0.2">
      <c r="A61" s="314" t="s">
        <v>116</v>
      </c>
      <c r="B61" s="315"/>
      <c r="C61" s="315"/>
      <c r="D61" s="315"/>
      <c r="E61" s="315"/>
      <c r="F61" s="315"/>
      <c r="G61" s="315"/>
      <c r="H61" s="315"/>
      <c r="I61" s="315"/>
      <c r="J61" s="316"/>
      <c r="K61" s="142">
        <f>SUM(K58:K60)</f>
        <v>1526.15060976</v>
      </c>
    </row>
    <row r="62" spans="1:13" x14ac:dyDescent="0.2">
      <c r="A62" s="314"/>
      <c r="B62" s="315"/>
      <c r="C62" s="315"/>
      <c r="D62" s="315"/>
      <c r="E62" s="315"/>
      <c r="F62" s="315"/>
      <c r="G62" s="315"/>
      <c r="H62" s="315"/>
      <c r="I62" s="315"/>
      <c r="J62" s="315"/>
      <c r="K62" s="326"/>
    </row>
    <row r="63" spans="1:13" x14ac:dyDescent="0.2">
      <c r="A63" s="302" t="s">
        <v>142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4"/>
    </row>
    <row r="64" spans="1:13" x14ac:dyDescent="0.2">
      <c r="A64" s="153">
        <v>3</v>
      </c>
      <c r="B64" s="320" t="s">
        <v>143</v>
      </c>
      <c r="C64" s="315"/>
      <c r="D64" s="315"/>
      <c r="E64" s="315"/>
      <c r="F64" s="315"/>
      <c r="G64" s="315"/>
      <c r="H64" s="315"/>
      <c r="I64" s="316"/>
      <c r="J64" s="118" t="s">
        <v>2</v>
      </c>
      <c r="K64" s="128" t="s">
        <v>93</v>
      </c>
    </row>
    <row r="65" spans="1:15" x14ac:dyDescent="0.2">
      <c r="A65" s="133" t="s">
        <v>99</v>
      </c>
      <c r="B65" s="291" t="s">
        <v>144</v>
      </c>
      <c r="C65" s="292"/>
      <c r="D65" s="292"/>
      <c r="E65" s="292"/>
      <c r="F65" s="292"/>
      <c r="G65" s="292"/>
      <c r="H65" s="292"/>
      <c r="I65" s="293"/>
      <c r="J65" s="122">
        <f>+((1/12)*5.5)/100</f>
        <v>4.5833333333333334E-3</v>
      </c>
      <c r="K65" s="132">
        <f>+($K$61+$K$23)*J65</f>
        <v>14.661490294733332</v>
      </c>
    </row>
    <row r="66" spans="1:15" x14ac:dyDescent="0.2">
      <c r="A66" s="133" t="s">
        <v>94</v>
      </c>
      <c r="B66" s="291" t="s">
        <v>145</v>
      </c>
      <c r="C66" s="292"/>
      <c r="D66" s="292"/>
      <c r="E66" s="292"/>
      <c r="F66" s="292"/>
      <c r="G66" s="292"/>
      <c r="H66" s="292"/>
      <c r="I66" s="293"/>
      <c r="J66" s="122">
        <f>+J43*J65</f>
        <v>3.6666666666666667E-4</v>
      </c>
      <c r="K66" s="132">
        <f t="shared" ref="K66:K70" si="1">+($K$61+$K$23)*J66</f>
        <v>1.1729192235786665</v>
      </c>
    </row>
    <row r="67" spans="1:15" x14ac:dyDescent="0.2">
      <c r="A67" s="133" t="s">
        <v>95</v>
      </c>
      <c r="B67" s="291" t="s">
        <v>217</v>
      </c>
      <c r="C67" s="292"/>
      <c r="D67" s="292"/>
      <c r="E67" s="292"/>
      <c r="F67" s="292"/>
      <c r="G67" s="292"/>
      <c r="H67" s="292"/>
      <c r="I67" s="293"/>
      <c r="J67" s="122">
        <f>+((8%*40%)*90%)*((1+0.0892857142857143+0.0892857142857143+0.0297619047619048))</f>
        <v>3.4800000000000011E-2</v>
      </c>
      <c r="K67" s="132">
        <f t="shared" si="1"/>
        <v>111.32069721964803</v>
      </c>
    </row>
    <row r="68" spans="1:15" x14ac:dyDescent="0.2">
      <c r="A68" s="133" t="s">
        <v>96</v>
      </c>
      <c r="B68" s="291" t="s">
        <v>146</v>
      </c>
      <c r="C68" s="292"/>
      <c r="D68" s="292"/>
      <c r="E68" s="292"/>
      <c r="F68" s="292"/>
      <c r="G68" s="292"/>
      <c r="H68" s="292"/>
      <c r="I68" s="293"/>
      <c r="J68" s="122">
        <f>+((0.0333333333333333)*7)/12</f>
        <v>1.9444444444444424E-2</v>
      </c>
      <c r="K68" s="132">
        <f t="shared" si="1"/>
        <v>62.200261856444371</v>
      </c>
    </row>
    <row r="69" spans="1:15" x14ac:dyDescent="0.2">
      <c r="A69" s="133" t="s">
        <v>97</v>
      </c>
      <c r="B69" s="291" t="s">
        <v>147</v>
      </c>
      <c r="C69" s="292"/>
      <c r="D69" s="292"/>
      <c r="E69" s="292"/>
      <c r="F69" s="292"/>
      <c r="G69" s="292"/>
      <c r="H69" s="292"/>
      <c r="I69" s="293"/>
      <c r="J69" s="122">
        <f>J68*J44</f>
        <v>7.738888888888882E-3</v>
      </c>
      <c r="K69" s="132">
        <f t="shared" si="1"/>
        <v>24.755704218864864</v>
      </c>
    </row>
    <row r="70" spans="1:15" x14ac:dyDescent="0.2">
      <c r="A70" s="133" t="s">
        <v>100</v>
      </c>
      <c r="B70" s="291" t="s">
        <v>218</v>
      </c>
      <c r="C70" s="292"/>
      <c r="D70" s="292"/>
      <c r="E70" s="292"/>
      <c r="F70" s="292"/>
      <c r="G70" s="292"/>
      <c r="H70" s="292"/>
      <c r="I70" s="293"/>
      <c r="J70" s="122">
        <f>+((8%* 40%)*1.94%)</f>
        <v>6.2080000000000002E-4</v>
      </c>
      <c r="K70" s="132">
        <f t="shared" si="1"/>
        <v>1.985858874539008</v>
      </c>
    </row>
    <row r="71" spans="1:15" x14ac:dyDescent="0.2">
      <c r="A71" s="133" t="s">
        <v>141</v>
      </c>
      <c r="B71" s="291" t="s">
        <v>148</v>
      </c>
      <c r="C71" s="292"/>
      <c r="D71" s="292"/>
      <c r="E71" s="292"/>
      <c r="F71" s="292"/>
      <c r="G71" s="292"/>
      <c r="H71" s="292"/>
      <c r="I71" s="293"/>
      <c r="J71" s="122">
        <v>0</v>
      </c>
      <c r="K71" s="132">
        <f t="shared" ref="K71" si="2">$K$23*J71</f>
        <v>0</v>
      </c>
    </row>
    <row r="72" spans="1:15" x14ac:dyDescent="0.2">
      <c r="A72" s="314" t="s">
        <v>149</v>
      </c>
      <c r="B72" s="315"/>
      <c r="C72" s="315"/>
      <c r="D72" s="315"/>
      <c r="E72" s="315"/>
      <c r="F72" s="315"/>
      <c r="G72" s="315"/>
      <c r="H72" s="315"/>
      <c r="I72" s="316"/>
      <c r="J72" s="121">
        <f>SUM(J65:J71)</f>
        <v>6.7554133333333322E-2</v>
      </c>
      <c r="K72" s="142">
        <f>SUM(K65:K71)</f>
        <v>216.09693168780831</v>
      </c>
    </row>
    <row r="73" spans="1:15" x14ac:dyDescent="0.2">
      <c r="A73" s="317"/>
      <c r="B73" s="318"/>
      <c r="C73" s="318"/>
      <c r="D73" s="318"/>
      <c r="E73" s="318"/>
      <c r="F73" s="318"/>
      <c r="G73" s="318"/>
      <c r="H73" s="318"/>
      <c r="I73" s="318"/>
      <c r="J73" s="318"/>
      <c r="K73" s="319"/>
    </row>
    <row r="74" spans="1:15" x14ac:dyDescent="0.2">
      <c r="A74" s="302" t="s">
        <v>150</v>
      </c>
      <c r="B74" s="303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1:15" ht="12.75" customHeight="1" x14ac:dyDescent="0.2">
      <c r="A75" s="153" t="s">
        <v>152</v>
      </c>
      <c r="B75" s="320" t="s">
        <v>151</v>
      </c>
      <c r="C75" s="315"/>
      <c r="D75" s="315"/>
      <c r="E75" s="315"/>
      <c r="F75" s="315"/>
      <c r="G75" s="315"/>
      <c r="H75" s="315"/>
      <c r="I75" s="316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287" t="s">
        <v>220</v>
      </c>
      <c r="C76" s="288"/>
      <c r="D76" s="288"/>
      <c r="E76" s="288"/>
      <c r="F76" s="288"/>
      <c r="G76" s="288"/>
      <c r="H76" s="288"/>
      <c r="I76" s="289"/>
      <c r="J76" s="122">
        <f>+((0.0833333333333333)/12)+(((0.0833333333333333)/12)*0.333333333333333)+(0.0833333333333333)/12</f>
        <v>1.6203703703703692E-2</v>
      </c>
      <c r="K76" s="146">
        <f>+(($K$23+$K$61+$K$72)-$K$44)*J76</f>
        <v>42.34338216469439</v>
      </c>
      <c r="L76" s="111"/>
      <c r="M76" s="2"/>
      <c r="N76" s="4"/>
      <c r="O76" s="2"/>
    </row>
    <row r="77" spans="1:15" x14ac:dyDescent="0.2">
      <c r="A77" s="133" t="s">
        <v>94</v>
      </c>
      <c r="B77" s="291" t="s">
        <v>213</v>
      </c>
      <c r="C77" s="292"/>
      <c r="D77" s="292"/>
      <c r="E77" s="292"/>
      <c r="F77" s="292"/>
      <c r="G77" s="292"/>
      <c r="H77" s="292"/>
      <c r="I77" s="293"/>
      <c r="J77" s="122">
        <f>+(1/30)*(1/12)</f>
        <v>2.7777777777777775E-3</v>
      </c>
      <c r="K77" s="146">
        <f t="shared" ref="K77:K81" si="3">+(($K$23+$K$61+$K$72)-$K$44)*J77</f>
        <v>7.2588655139476135</v>
      </c>
      <c r="M77" s="2"/>
    </row>
    <row r="78" spans="1:15" x14ac:dyDescent="0.2">
      <c r="A78" s="133" t="s">
        <v>95</v>
      </c>
      <c r="B78" s="291" t="s">
        <v>214</v>
      </c>
      <c r="C78" s="292"/>
      <c r="D78" s="292"/>
      <c r="E78" s="292"/>
      <c r="F78" s="292"/>
      <c r="G78" s="292"/>
      <c r="H78" s="292"/>
      <c r="I78" s="293"/>
      <c r="J78" s="158">
        <f>+(5/30)*(1/12)*6.24%*95.04%</f>
        <v>8.2368000000000003E-4</v>
      </c>
      <c r="K78" s="146">
        <f t="shared" si="3"/>
        <v>2.1524336447502135</v>
      </c>
      <c r="M78" s="2"/>
      <c r="O78" s="111"/>
    </row>
    <row r="79" spans="1:15" s="3" customFormat="1" x14ac:dyDescent="0.2">
      <c r="A79" s="133" t="s">
        <v>96</v>
      </c>
      <c r="B79" s="291" t="s">
        <v>215</v>
      </c>
      <c r="C79" s="292"/>
      <c r="D79" s="292"/>
      <c r="E79" s="292"/>
      <c r="F79" s="292"/>
      <c r="G79" s="292"/>
      <c r="H79" s="292"/>
      <c r="I79" s="293"/>
      <c r="J79" s="158">
        <f>+((0.0416666666666667)*8%)</f>
        <v>3.3333333333333361E-3</v>
      </c>
      <c r="K79" s="146">
        <f t="shared" si="3"/>
        <v>8.7106386167371443</v>
      </c>
      <c r="L79"/>
    </row>
    <row r="80" spans="1:15" s="3" customFormat="1" x14ac:dyDescent="0.2">
      <c r="A80" s="133" t="s">
        <v>97</v>
      </c>
      <c r="B80" s="291" t="s">
        <v>216</v>
      </c>
      <c r="C80" s="327"/>
      <c r="D80" s="327"/>
      <c r="E80" s="327"/>
      <c r="F80" s="327"/>
      <c r="G80" s="327"/>
      <c r="H80" s="327"/>
      <c r="I80" s="328"/>
      <c r="J80" s="158">
        <f>(0.0144*0.1*0.4509*6/12)+((0.0144*0.1*0.4509*6/12)*J44)</f>
        <v>4.5385790400000008E-4</v>
      </c>
      <c r="K80" s="146">
        <f t="shared" si="3"/>
        <v>1.1860176555281332</v>
      </c>
      <c r="L80"/>
      <c r="M80" s="169"/>
    </row>
    <row r="81" spans="1:13" x14ac:dyDescent="0.2">
      <c r="A81" s="133" t="s">
        <v>100</v>
      </c>
      <c r="B81" s="291" t="s">
        <v>219</v>
      </c>
      <c r="C81" s="292"/>
      <c r="D81" s="292"/>
      <c r="E81" s="292"/>
      <c r="F81" s="292"/>
      <c r="G81" s="292"/>
      <c r="H81" s="292"/>
      <c r="I81" s="293"/>
      <c r="J81" s="122">
        <f>+(5.96/30)*(1/12)</f>
        <v>1.6555555555555553E-2</v>
      </c>
      <c r="K81" s="146">
        <f t="shared" si="3"/>
        <v>43.262838463127778</v>
      </c>
    </row>
    <row r="82" spans="1:13" x14ac:dyDescent="0.2">
      <c r="A82" s="133" t="s">
        <v>141</v>
      </c>
      <c r="B82" s="291" t="s">
        <v>148</v>
      </c>
      <c r="C82" s="292"/>
      <c r="D82" s="292"/>
      <c r="E82" s="292"/>
      <c r="F82" s="292"/>
      <c r="G82" s="292"/>
      <c r="H82" s="292"/>
      <c r="I82" s="293"/>
      <c r="J82" s="122">
        <v>0</v>
      </c>
      <c r="K82" s="146">
        <f t="shared" ref="K82" si="4">+$K$23*J82</f>
        <v>0</v>
      </c>
    </row>
    <row r="83" spans="1:13" x14ac:dyDescent="0.2">
      <c r="A83" s="314" t="s">
        <v>154</v>
      </c>
      <c r="B83" s="315"/>
      <c r="C83" s="315"/>
      <c r="D83" s="315"/>
      <c r="E83" s="315"/>
      <c r="F83" s="315"/>
      <c r="G83" s="315"/>
      <c r="H83" s="315"/>
      <c r="I83" s="316"/>
      <c r="J83" s="121">
        <f>SUM(J76:J82)</f>
        <v>4.0147908274370363E-2</v>
      </c>
      <c r="K83" s="147">
        <f>SUM(K76:K82)</f>
        <v>104.91417605878527</v>
      </c>
    </row>
    <row r="84" spans="1:13" x14ac:dyDescent="0.2">
      <c r="A84" s="314"/>
      <c r="B84" s="315"/>
      <c r="C84" s="315"/>
      <c r="D84" s="315"/>
      <c r="E84" s="315"/>
      <c r="F84" s="315"/>
      <c r="G84" s="315"/>
      <c r="H84" s="315"/>
      <c r="I84" s="315"/>
      <c r="J84" s="315"/>
      <c r="K84" s="326"/>
    </row>
    <row r="85" spans="1:13" x14ac:dyDescent="0.2">
      <c r="A85" s="314" t="s">
        <v>155</v>
      </c>
      <c r="B85" s="315"/>
      <c r="C85" s="315"/>
      <c r="D85" s="315"/>
      <c r="E85" s="315"/>
      <c r="F85" s="315"/>
      <c r="G85" s="315"/>
      <c r="H85" s="315"/>
      <c r="I85" s="316"/>
      <c r="J85" s="121">
        <f>J29+J44+J72+J83</f>
        <v>0.71003537494103708</v>
      </c>
      <c r="K85" s="131">
        <f>K30+K44+K72+K83</f>
        <v>1464.5795175065937</v>
      </c>
    </row>
    <row r="86" spans="1:13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26"/>
    </row>
    <row r="87" spans="1:13" x14ac:dyDescent="0.2">
      <c r="A87" s="153" t="s">
        <v>156</v>
      </c>
      <c r="B87" s="320" t="s">
        <v>157</v>
      </c>
      <c r="C87" s="315"/>
      <c r="D87" s="315"/>
      <c r="E87" s="315"/>
      <c r="F87" s="315"/>
      <c r="G87" s="315"/>
      <c r="H87" s="315"/>
      <c r="I87" s="316"/>
      <c r="J87" s="123" t="s">
        <v>2</v>
      </c>
      <c r="K87" s="134" t="s">
        <v>93</v>
      </c>
    </row>
    <row r="88" spans="1:13" x14ac:dyDescent="0.2">
      <c r="A88" s="133" t="s">
        <v>99</v>
      </c>
      <c r="B88" s="291" t="s">
        <v>158</v>
      </c>
      <c r="C88" s="292"/>
      <c r="D88" s="292"/>
      <c r="E88" s="292"/>
      <c r="F88" s="292"/>
      <c r="G88" s="292"/>
      <c r="H88" s="292"/>
      <c r="I88" s="293"/>
      <c r="J88" s="122">
        <v>0</v>
      </c>
      <c r="K88" s="132">
        <f>J88*($K$23+$K$54+$K$72)</f>
        <v>0</v>
      </c>
      <c r="M88" s="2"/>
    </row>
    <row r="89" spans="1:13" x14ac:dyDescent="0.2">
      <c r="A89" s="314" t="s">
        <v>159</v>
      </c>
      <c r="B89" s="315"/>
      <c r="C89" s="315"/>
      <c r="D89" s="315"/>
      <c r="E89" s="315"/>
      <c r="F89" s="315"/>
      <c r="G89" s="315"/>
      <c r="H89" s="315"/>
      <c r="I89" s="316"/>
      <c r="J89" s="121">
        <f>SUM(J88:J88)</f>
        <v>0</v>
      </c>
      <c r="K89" s="131">
        <f>SUM(K88:K88)</f>
        <v>0</v>
      </c>
      <c r="M89" s="1"/>
    </row>
    <row r="90" spans="1:13" x14ac:dyDescent="0.2">
      <c r="A90" s="314"/>
      <c r="B90" s="315"/>
      <c r="C90" s="315"/>
      <c r="D90" s="315"/>
      <c r="E90" s="315"/>
      <c r="F90" s="315"/>
      <c r="G90" s="315"/>
      <c r="H90" s="315"/>
      <c r="I90" s="315"/>
      <c r="J90" s="315"/>
      <c r="K90" s="326"/>
      <c r="M90" s="1"/>
    </row>
    <row r="91" spans="1:13" x14ac:dyDescent="0.2">
      <c r="A91" s="314" t="s">
        <v>160</v>
      </c>
      <c r="B91" s="315"/>
      <c r="C91" s="315"/>
      <c r="D91" s="315"/>
      <c r="E91" s="315"/>
      <c r="F91" s="315"/>
      <c r="G91" s="315"/>
      <c r="H91" s="315"/>
      <c r="I91" s="315"/>
      <c r="J91" s="315"/>
      <c r="K91" s="326"/>
    </row>
    <row r="92" spans="1:13" x14ac:dyDescent="0.2">
      <c r="A92" s="314" t="s">
        <v>161</v>
      </c>
      <c r="B92" s="315"/>
      <c r="C92" s="315"/>
      <c r="D92" s="315"/>
      <c r="E92" s="315"/>
      <c r="F92" s="315"/>
      <c r="G92" s="315"/>
      <c r="H92" s="315"/>
      <c r="I92" s="315"/>
      <c r="J92" s="316"/>
      <c r="K92" s="128" t="s">
        <v>93</v>
      </c>
    </row>
    <row r="93" spans="1:13" x14ac:dyDescent="0.2">
      <c r="A93" s="153" t="s">
        <v>152</v>
      </c>
      <c r="B93" s="291" t="s">
        <v>153</v>
      </c>
      <c r="C93" s="292"/>
      <c r="D93" s="292"/>
      <c r="E93" s="292"/>
      <c r="F93" s="292"/>
      <c r="G93" s="292"/>
      <c r="H93" s="292"/>
      <c r="I93" s="292"/>
      <c r="J93" s="293"/>
      <c r="K93" s="132">
        <f>K83</f>
        <v>104.91417605878527</v>
      </c>
      <c r="L93" s="111"/>
    </row>
    <row r="94" spans="1:13" x14ac:dyDescent="0.2">
      <c r="A94" s="153" t="s">
        <v>156</v>
      </c>
      <c r="B94" s="291" t="s">
        <v>162</v>
      </c>
      <c r="C94" s="292"/>
      <c r="D94" s="292"/>
      <c r="E94" s="292"/>
      <c r="F94" s="292"/>
      <c r="G94" s="292"/>
      <c r="H94" s="292"/>
      <c r="I94" s="292"/>
      <c r="J94" s="293"/>
      <c r="K94" s="132">
        <f>K89</f>
        <v>0</v>
      </c>
      <c r="L94" s="145"/>
    </row>
    <row r="95" spans="1:13" x14ac:dyDescent="0.2">
      <c r="A95" s="314"/>
      <c r="B95" s="315"/>
      <c r="C95" s="315"/>
      <c r="D95" s="315"/>
      <c r="E95" s="315"/>
      <c r="F95" s="315"/>
      <c r="G95" s="315"/>
      <c r="H95" s="315"/>
      <c r="I95" s="315"/>
      <c r="J95" s="316"/>
      <c r="K95" s="131">
        <f>SUM(K93:K94)</f>
        <v>104.91417605878527</v>
      </c>
    </row>
    <row r="96" spans="1:13" x14ac:dyDescent="0.2">
      <c r="A96" s="314"/>
      <c r="B96" s="315"/>
      <c r="C96" s="315"/>
      <c r="D96" s="315"/>
      <c r="E96" s="315"/>
      <c r="F96" s="315"/>
      <c r="G96" s="315"/>
      <c r="H96" s="315"/>
      <c r="I96" s="315"/>
      <c r="J96" s="315"/>
      <c r="K96" s="326"/>
    </row>
    <row r="97" spans="1:13" x14ac:dyDescent="0.2">
      <c r="A97" s="302" t="s">
        <v>169</v>
      </c>
      <c r="B97" s="303"/>
      <c r="C97" s="303"/>
      <c r="D97" s="303"/>
      <c r="E97" s="303"/>
      <c r="F97" s="303"/>
      <c r="G97" s="303"/>
      <c r="H97" s="303"/>
      <c r="I97" s="303"/>
      <c r="J97" s="303"/>
      <c r="K97" s="304"/>
    </row>
    <row r="98" spans="1:13" ht="12.75" customHeight="1" x14ac:dyDescent="0.2">
      <c r="A98" s="153">
        <v>5</v>
      </c>
      <c r="B98" s="320" t="s">
        <v>163</v>
      </c>
      <c r="C98" s="315"/>
      <c r="D98" s="315"/>
      <c r="E98" s="315"/>
      <c r="F98" s="315"/>
      <c r="G98" s="315"/>
      <c r="H98" s="315"/>
      <c r="I98" s="316"/>
      <c r="J98" s="118"/>
      <c r="K98" s="128" t="s">
        <v>93</v>
      </c>
      <c r="M98" s="2"/>
    </row>
    <row r="99" spans="1:13" x14ac:dyDescent="0.2">
      <c r="A99" s="133" t="s">
        <v>99</v>
      </c>
      <c r="B99" s="291" t="s">
        <v>165</v>
      </c>
      <c r="C99" s="292"/>
      <c r="D99" s="292"/>
      <c r="E99" s="292"/>
      <c r="F99" s="292"/>
      <c r="G99" s="292"/>
      <c r="H99" s="292"/>
      <c r="I99" s="293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291" t="s">
        <v>166</v>
      </c>
      <c r="C100" s="292"/>
      <c r="D100" s="292"/>
      <c r="E100" s="292"/>
      <c r="F100" s="292"/>
      <c r="G100" s="292"/>
      <c r="H100" s="292"/>
      <c r="I100" s="293"/>
      <c r="J100" s="124"/>
      <c r="K100" s="151"/>
      <c r="M100" s="2"/>
    </row>
    <row r="101" spans="1:13" x14ac:dyDescent="0.2">
      <c r="A101" s="133" t="s">
        <v>95</v>
      </c>
      <c r="B101" s="291" t="s">
        <v>250</v>
      </c>
      <c r="C101" s="292"/>
      <c r="D101" s="292"/>
      <c r="E101" s="292"/>
      <c r="F101" s="292"/>
      <c r="G101" s="292"/>
      <c r="H101" s="292"/>
      <c r="I101" s="293"/>
      <c r="J101" s="163"/>
      <c r="K101" s="151"/>
      <c r="M101" s="165"/>
    </row>
    <row r="102" spans="1:13" s="3" customFormat="1" x14ac:dyDescent="0.2">
      <c r="A102" s="133" t="s">
        <v>96</v>
      </c>
      <c r="B102" s="291" t="s">
        <v>167</v>
      </c>
      <c r="C102" s="292"/>
      <c r="D102" s="292"/>
      <c r="E102" s="292"/>
      <c r="F102" s="292"/>
      <c r="G102" s="292"/>
      <c r="H102" s="292"/>
      <c r="I102" s="293"/>
      <c r="J102" s="163"/>
      <c r="K102" s="151">
        <v>20</v>
      </c>
      <c r="L102"/>
      <c r="M102" s="164"/>
    </row>
    <row r="103" spans="1:13" x14ac:dyDescent="0.2">
      <c r="A103" s="314" t="s">
        <v>164</v>
      </c>
      <c r="B103" s="315"/>
      <c r="C103" s="315"/>
      <c r="D103" s="315"/>
      <c r="E103" s="315"/>
      <c r="F103" s="315"/>
      <c r="G103" s="315"/>
      <c r="H103" s="315"/>
      <c r="I103" s="316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14"/>
      <c r="B104" s="315"/>
      <c r="C104" s="315"/>
      <c r="D104" s="315"/>
      <c r="E104" s="315"/>
      <c r="F104" s="315"/>
      <c r="G104" s="315"/>
      <c r="H104" s="315"/>
      <c r="I104" s="315"/>
      <c r="J104" s="315"/>
      <c r="K104" s="326"/>
    </row>
    <row r="105" spans="1:13" x14ac:dyDescent="0.2">
      <c r="A105" s="302" t="s">
        <v>168</v>
      </c>
      <c r="B105" s="303"/>
      <c r="C105" s="303"/>
      <c r="D105" s="303"/>
      <c r="E105" s="303"/>
      <c r="F105" s="303"/>
      <c r="G105" s="303"/>
      <c r="H105" s="303"/>
      <c r="I105" s="303"/>
      <c r="J105" s="303"/>
      <c r="K105" s="304"/>
    </row>
    <row r="106" spans="1:13" x14ac:dyDescent="0.2">
      <c r="A106" s="153">
        <v>6</v>
      </c>
      <c r="B106" s="320" t="s">
        <v>170</v>
      </c>
      <c r="C106" s="315"/>
      <c r="D106" s="315"/>
      <c r="E106" s="315"/>
      <c r="F106" s="315"/>
      <c r="G106" s="315"/>
      <c r="H106" s="315"/>
      <c r="I106" s="316"/>
      <c r="J106" s="118"/>
      <c r="K106" s="128" t="s">
        <v>93</v>
      </c>
    </row>
    <row r="107" spans="1:13" x14ac:dyDescent="0.2">
      <c r="A107" s="133" t="s">
        <v>99</v>
      </c>
      <c r="B107" s="291" t="s">
        <v>175</v>
      </c>
      <c r="C107" s="292"/>
      <c r="D107" s="292"/>
      <c r="E107" s="292"/>
      <c r="F107" s="292"/>
      <c r="G107" s="292"/>
      <c r="H107" s="292"/>
      <c r="I107" s="293"/>
      <c r="J107" s="152">
        <v>0.05</v>
      </c>
      <c r="K107" s="151">
        <f>J107*($K$23+$K$61+$K$72+$K$95+$K$103)</f>
        <v>178.99408587532969</v>
      </c>
    </row>
    <row r="108" spans="1:13" x14ac:dyDescent="0.2">
      <c r="A108" s="133" t="s">
        <v>94</v>
      </c>
      <c r="B108" s="291" t="s">
        <v>176</v>
      </c>
      <c r="C108" s="292"/>
      <c r="D108" s="292"/>
      <c r="E108" s="292"/>
      <c r="F108" s="292"/>
      <c r="G108" s="292"/>
      <c r="H108" s="292"/>
      <c r="I108" s="293"/>
      <c r="J108" s="152">
        <v>0.06</v>
      </c>
      <c r="K108" s="151">
        <f>J108*($K$23+$K$61+$K$72+$K$95+$K$103+$K$107)</f>
        <v>225.53254820291536</v>
      </c>
    </row>
    <row r="109" spans="1:13" x14ac:dyDescent="0.2">
      <c r="A109" s="133" t="s">
        <v>95</v>
      </c>
      <c r="B109" s="321" t="s">
        <v>177</v>
      </c>
      <c r="C109" s="322"/>
      <c r="D109" s="322"/>
      <c r="E109" s="322"/>
      <c r="F109" s="322"/>
      <c r="G109" s="322"/>
      <c r="H109" s="322"/>
      <c r="I109" s="323"/>
      <c r="J109" s="122"/>
      <c r="K109" s="132">
        <f>J109*($K$23+$K$61+$K$72+$K$95+$K$103)</f>
        <v>0</v>
      </c>
    </row>
    <row r="110" spans="1:13" ht="20.25" customHeight="1" x14ac:dyDescent="0.2">
      <c r="A110" s="133" t="s">
        <v>172</v>
      </c>
      <c r="B110" s="287" t="s">
        <v>314</v>
      </c>
      <c r="C110" s="288"/>
      <c r="D110" s="288"/>
      <c r="E110" s="288"/>
      <c r="F110" s="288"/>
      <c r="G110" s="288"/>
      <c r="H110" s="288"/>
      <c r="I110" s="289"/>
      <c r="J110" s="166">
        <v>1.6500000000000001E-2</v>
      </c>
      <c r="K110" s="132">
        <f>+$K$117*J110</f>
        <v>71.967966941598078</v>
      </c>
    </row>
    <row r="111" spans="1:13" ht="27" customHeight="1" x14ac:dyDescent="0.2">
      <c r="A111" s="133" t="s">
        <v>173</v>
      </c>
      <c r="B111" s="287" t="s">
        <v>315</v>
      </c>
      <c r="C111" s="288"/>
      <c r="D111" s="288"/>
      <c r="E111" s="288"/>
      <c r="F111" s="288"/>
      <c r="G111" s="288"/>
      <c r="H111" s="288"/>
      <c r="I111" s="289"/>
      <c r="J111" s="166">
        <v>7.5999999999999998E-2</v>
      </c>
      <c r="K111" s="132">
        <f>+$K$117*J111</f>
        <v>331.48881742796686</v>
      </c>
    </row>
    <row r="112" spans="1:13" x14ac:dyDescent="0.2">
      <c r="A112" s="133" t="s">
        <v>174</v>
      </c>
      <c r="B112" s="291" t="s">
        <v>46</v>
      </c>
      <c r="C112" s="292"/>
      <c r="D112" s="292"/>
      <c r="E112" s="292"/>
      <c r="F112" s="292"/>
      <c r="G112" s="292"/>
      <c r="H112" s="292"/>
      <c r="I112" s="293"/>
      <c r="J112" s="122">
        <v>0.05</v>
      </c>
      <c r="K112" s="132">
        <f>+$K$117*J112</f>
        <v>218.08474830787296</v>
      </c>
    </row>
    <row r="113" spans="1:16" x14ac:dyDescent="0.2">
      <c r="A113" s="314" t="s">
        <v>171</v>
      </c>
      <c r="B113" s="315"/>
      <c r="C113" s="315"/>
      <c r="D113" s="315"/>
      <c r="E113" s="315"/>
      <c r="F113" s="315"/>
      <c r="G113" s="315"/>
      <c r="H113" s="315"/>
      <c r="I113" s="316"/>
      <c r="J113" s="125">
        <f>SUM(J107:J112)</f>
        <v>0.2525</v>
      </c>
      <c r="K113" s="131">
        <f>SUM(K107:K112)</f>
        <v>1026.068166755683</v>
      </c>
      <c r="P113" s="2"/>
    </row>
    <row r="114" spans="1:16" x14ac:dyDescent="0.2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26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29" t="s">
        <v>181</v>
      </c>
      <c r="G115" s="329"/>
      <c r="H115" s="329"/>
      <c r="I115" s="329"/>
      <c r="J115" s="329"/>
      <c r="K115" s="138">
        <v>8.6499999999999994E-2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3984.4083515848383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4361.694966157459</v>
      </c>
      <c r="P117" s="2"/>
    </row>
    <row r="118" spans="1:16" x14ac:dyDescent="0.2">
      <c r="A118" s="139"/>
      <c r="B118" s="332" t="s">
        <v>192</v>
      </c>
      <c r="C118" s="332"/>
      <c r="D118" s="332"/>
      <c r="E118" s="332"/>
      <c r="F118" s="332"/>
      <c r="G118" s="332"/>
      <c r="H118" s="332"/>
      <c r="I118" s="332"/>
      <c r="J118" s="332"/>
      <c r="K118" s="140">
        <f>K117-K116</f>
        <v>377.28661457262069</v>
      </c>
      <c r="P118" s="2"/>
    </row>
    <row r="119" spans="1:16" x14ac:dyDescent="0.2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26"/>
      <c r="P119" s="2"/>
    </row>
    <row r="120" spans="1:16" x14ac:dyDescent="0.2">
      <c r="A120" s="314" t="s">
        <v>182</v>
      </c>
      <c r="B120" s="315"/>
      <c r="C120" s="315"/>
      <c r="D120" s="315"/>
      <c r="E120" s="315"/>
      <c r="F120" s="315"/>
      <c r="G120" s="315"/>
      <c r="H120" s="315"/>
      <c r="I120" s="315"/>
      <c r="J120" s="315"/>
      <c r="K120" s="326"/>
    </row>
    <row r="121" spans="1:16" x14ac:dyDescent="0.2">
      <c r="A121" s="314" t="s">
        <v>183</v>
      </c>
      <c r="B121" s="315"/>
      <c r="C121" s="315"/>
      <c r="D121" s="315"/>
      <c r="E121" s="315"/>
      <c r="F121" s="315"/>
      <c r="G121" s="315"/>
      <c r="H121" s="315"/>
      <c r="I121" s="315"/>
      <c r="J121" s="316"/>
      <c r="K121" s="128" t="s">
        <v>93</v>
      </c>
    </row>
    <row r="122" spans="1:16" x14ac:dyDescent="0.2">
      <c r="A122" s="133" t="s">
        <v>99</v>
      </c>
      <c r="B122" s="291" t="s">
        <v>108</v>
      </c>
      <c r="C122" s="292"/>
      <c r="D122" s="292"/>
      <c r="E122" s="292"/>
      <c r="F122" s="292"/>
      <c r="G122" s="292"/>
      <c r="H122" s="292"/>
      <c r="I122" s="292"/>
      <c r="J122" s="293"/>
      <c r="K122" s="132">
        <f>K23</f>
        <v>1672.72</v>
      </c>
    </row>
    <row r="123" spans="1:16" x14ac:dyDescent="0.2">
      <c r="A123" s="133" t="s">
        <v>94</v>
      </c>
      <c r="B123" s="291" t="s">
        <v>184</v>
      </c>
      <c r="C123" s="292"/>
      <c r="D123" s="292"/>
      <c r="E123" s="292"/>
      <c r="F123" s="292"/>
      <c r="G123" s="292"/>
      <c r="H123" s="292"/>
      <c r="I123" s="292"/>
      <c r="J123" s="293"/>
      <c r="K123" s="132">
        <f>K61</f>
        <v>1526.15060976</v>
      </c>
    </row>
    <row r="124" spans="1:16" x14ac:dyDescent="0.2">
      <c r="A124" s="133" t="s">
        <v>95</v>
      </c>
      <c r="B124" s="291" t="s">
        <v>142</v>
      </c>
      <c r="C124" s="292"/>
      <c r="D124" s="292"/>
      <c r="E124" s="292"/>
      <c r="F124" s="292"/>
      <c r="G124" s="292"/>
      <c r="H124" s="292"/>
      <c r="I124" s="292"/>
      <c r="J124" s="293"/>
      <c r="K124" s="132">
        <f>K72</f>
        <v>216.09693168780831</v>
      </c>
    </row>
    <row r="125" spans="1:16" x14ac:dyDescent="0.2">
      <c r="A125" s="133" t="s">
        <v>96</v>
      </c>
      <c r="B125" s="291" t="s">
        <v>150</v>
      </c>
      <c r="C125" s="292"/>
      <c r="D125" s="292"/>
      <c r="E125" s="292"/>
      <c r="F125" s="292"/>
      <c r="G125" s="292"/>
      <c r="H125" s="292"/>
      <c r="I125" s="292"/>
      <c r="J125" s="293"/>
      <c r="K125" s="132">
        <f>K95</f>
        <v>104.91417605878527</v>
      </c>
    </row>
    <row r="126" spans="1:16" x14ac:dyDescent="0.2">
      <c r="A126" s="133" t="s">
        <v>97</v>
      </c>
      <c r="B126" s="291" t="s">
        <v>169</v>
      </c>
      <c r="C126" s="292"/>
      <c r="D126" s="292"/>
      <c r="E126" s="292"/>
      <c r="F126" s="292"/>
      <c r="G126" s="292"/>
      <c r="H126" s="292"/>
      <c r="I126" s="292"/>
      <c r="J126" s="293"/>
      <c r="K126" s="132">
        <f>K103</f>
        <v>60</v>
      </c>
    </row>
    <row r="127" spans="1:16" x14ac:dyDescent="0.2">
      <c r="A127" s="133"/>
      <c r="B127" s="320" t="s">
        <v>185</v>
      </c>
      <c r="C127" s="315"/>
      <c r="D127" s="315"/>
      <c r="E127" s="315"/>
      <c r="F127" s="315"/>
      <c r="G127" s="315"/>
      <c r="H127" s="315"/>
      <c r="I127" s="315"/>
      <c r="J127" s="316"/>
      <c r="K127" s="135">
        <f>SUM(K122:K126)</f>
        <v>3579.8817175065933</v>
      </c>
    </row>
    <row r="128" spans="1:16" x14ac:dyDescent="0.2">
      <c r="A128" s="133" t="s">
        <v>100</v>
      </c>
      <c r="B128" s="291" t="s">
        <v>168</v>
      </c>
      <c r="C128" s="292"/>
      <c r="D128" s="292"/>
      <c r="E128" s="292"/>
      <c r="F128" s="292"/>
      <c r="G128" s="292"/>
      <c r="H128" s="292"/>
      <c r="I128" s="292"/>
      <c r="J128" s="293"/>
      <c r="K128" s="132">
        <f>K113</f>
        <v>1026.068166755683</v>
      </c>
    </row>
    <row r="129" spans="1:11" x14ac:dyDescent="0.2">
      <c r="A129" s="314" t="s">
        <v>186</v>
      </c>
      <c r="B129" s="315"/>
      <c r="C129" s="315"/>
      <c r="D129" s="315"/>
      <c r="E129" s="315"/>
      <c r="F129" s="315"/>
      <c r="G129" s="315"/>
      <c r="H129" s="315"/>
      <c r="I129" s="315"/>
      <c r="J129" s="316"/>
      <c r="K129" s="131">
        <f>K127+K128</f>
        <v>4605.9498842622761</v>
      </c>
    </row>
    <row r="131" spans="1:11" ht="13.5" thickBot="1" x14ac:dyDescent="0.25"/>
    <row r="132" spans="1:11" ht="13.5" thickBot="1" x14ac:dyDescent="0.25">
      <c r="A132" s="339" t="s">
        <v>223</v>
      </c>
      <c r="B132" s="340"/>
      <c r="C132" s="340"/>
      <c r="D132" s="340"/>
      <c r="E132" s="340"/>
      <c r="F132" s="340"/>
      <c r="G132" s="340"/>
      <c r="H132" s="340"/>
      <c r="I132" s="341"/>
    </row>
    <row r="133" spans="1:11" x14ac:dyDescent="0.2">
      <c r="A133" s="160" t="s">
        <v>199</v>
      </c>
      <c r="B133" s="342" t="s">
        <v>200</v>
      </c>
      <c r="C133" s="342"/>
      <c r="D133" s="342"/>
      <c r="E133" s="342"/>
      <c r="F133" s="342" t="s">
        <v>201</v>
      </c>
      <c r="G133" s="342"/>
      <c r="H133" s="342"/>
      <c r="I133" s="343"/>
    </row>
    <row r="134" spans="1:11" x14ac:dyDescent="0.2">
      <c r="A134" s="133" t="s">
        <v>99</v>
      </c>
      <c r="B134" s="344" t="s">
        <v>202</v>
      </c>
      <c r="C134" s="344"/>
      <c r="D134" s="344"/>
      <c r="E134" s="344"/>
      <c r="F134" s="345">
        <f>+K129</f>
        <v>4605.9498842622761</v>
      </c>
      <c r="G134" s="324"/>
      <c r="H134" s="324"/>
      <c r="I134" s="346"/>
    </row>
    <row r="135" spans="1:11" x14ac:dyDescent="0.2">
      <c r="A135" s="133" t="s">
        <v>94</v>
      </c>
      <c r="B135" s="347" t="s">
        <v>203</v>
      </c>
      <c r="C135" s="347"/>
      <c r="D135" s="347"/>
      <c r="E135" s="347"/>
      <c r="F135" s="348">
        <f>F136+F137</f>
        <v>267.14509328721203</v>
      </c>
      <c r="G135" s="324"/>
      <c r="H135" s="324"/>
      <c r="I135" s="346"/>
    </row>
    <row r="136" spans="1:11" x14ac:dyDescent="0.2">
      <c r="A136" s="133" t="s">
        <v>204</v>
      </c>
      <c r="B136" s="344" t="s">
        <v>205</v>
      </c>
      <c r="C136" s="344"/>
      <c r="D136" s="344"/>
      <c r="E136" s="344"/>
      <c r="F136" s="349">
        <f>F134*4.8%</f>
        <v>221.08559444458925</v>
      </c>
      <c r="G136" s="306"/>
      <c r="H136" s="306"/>
      <c r="I136" s="350"/>
    </row>
    <row r="137" spans="1:11" x14ac:dyDescent="0.2">
      <c r="A137" s="133" t="s">
        <v>206</v>
      </c>
      <c r="B137" s="344" t="s">
        <v>222</v>
      </c>
      <c r="C137" s="344"/>
      <c r="D137" s="344"/>
      <c r="E137" s="344"/>
      <c r="F137" s="349">
        <f>F134*1%</f>
        <v>46.059498842622759</v>
      </c>
      <c r="G137" s="306"/>
      <c r="H137" s="306"/>
      <c r="I137" s="350"/>
    </row>
    <row r="138" spans="1:11" x14ac:dyDescent="0.2">
      <c r="A138" s="133" t="s">
        <v>95</v>
      </c>
      <c r="B138" s="344" t="s">
        <v>207</v>
      </c>
      <c r="C138" s="344"/>
      <c r="D138" s="344"/>
      <c r="E138" s="344"/>
      <c r="F138" s="348">
        <f>F139+F140</f>
        <v>404.52663407824502</v>
      </c>
      <c r="G138" s="324"/>
      <c r="H138" s="324"/>
      <c r="I138" s="346"/>
    </row>
    <row r="139" spans="1:11" x14ac:dyDescent="0.2">
      <c r="A139" s="133" t="s">
        <v>208</v>
      </c>
      <c r="B139" s="344" t="s">
        <v>209</v>
      </c>
      <c r="C139" s="344"/>
      <c r="D139" s="344"/>
      <c r="E139" s="344"/>
      <c r="F139" s="351">
        <f>+K107</f>
        <v>178.99408587532969</v>
      </c>
      <c r="G139" s="306"/>
      <c r="H139" s="306"/>
      <c r="I139" s="350"/>
    </row>
    <row r="140" spans="1:11" x14ac:dyDescent="0.2">
      <c r="A140" s="133" t="s">
        <v>210</v>
      </c>
      <c r="B140" s="344" t="s">
        <v>211</v>
      </c>
      <c r="C140" s="344"/>
      <c r="D140" s="344"/>
      <c r="E140" s="344"/>
      <c r="F140" s="351">
        <f>+K108</f>
        <v>225.53254820291536</v>
      </c>
      <c r="G140" s="306"/>
      <c r="H140" s="306"/>
      <c r="I140" s="350"/>
    </row>
    <row r="141" spans="1:11" ht="41.25" customHeight="1" thickBot="1" x14ac:dyDescent="0.25">
      <c r="A141" s="161" t="s">
        <v>96</v>
      </c>
      <c r="B141" s="352" t="s">
        <v>212</v>
      </c>
      <c r="C141" s="352"/>
      <c r="D141" s="352"/>
      <c r="E141" s="352"/>
      <c r="F141" s="353">
        <f>+F138-F135</f>
        <v>137.38154079103299</v>
      </c>
      <c r="G141" s="354"/>
      <c r="H141" s="354"/>
      <c r="I141" s="355"/>
    </row>
  </sheetData>
  <mergeCells count="152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19:K119"/>
    <mergeCell ref="A120:K120"/>
    <mergeCell ref="A121:J121"/>
    <mergeCell ref="B122:J122"/>
    <mergeCell ref="B123:J123"/>
    <mergeCell ref="B124:J124"/>
    <mergeCell ref="A132:I132"/>
    <mergeCell ref="B133:E133"/>
    <mergeCell ref="F133:I133"/>
    <mergeCell ref="B134:E134"/>
    <mergeCell ref="F134:I134"/>
    <mergeCell ref="B135:E135"/>
    <mergeCell ref="F135:I135"/>
    <mergeCell ref="B136:E136"/>
    <mergeCell ref="F136:I136"/>
    <mergeCell ref="B137:E137"/>
    <mergeCell ref="F137:I137"/>
    <mergeCell ref="B138:E138"/>
    <mergeCell ref="F138:I138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5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H86"/>
  <sheetViews>
    <sheetView topLeftCell="A67" workbookViewId="0">
      <selection activeCell="G79" sqref="G79"/>
    </sheetView>
  </sheetViews>
  <sheetFormatPr defaultColWidth="9.140625" defaultRowHeight="12.75" x14ac:dyDescent="0.2"/>
  <cols>
    <col min="1" max="1" width="38.85546875" style="5" customWidth="1"/>
    <col min="2" max="2" width="14.28515625" style="5" customWidth="1"/>
    <col min="3" max="3" width="13.85546875" style="5" customWidth="1"/>
    <col min="4" max="4" width="15.42578125" style="5" customWidth="1"/>
    <col min="5" max="5" width="11.42578125" style="5" customWidth="1"/>
    <col min="6" max="6" width="14.42578125" style="5" customWidth="1"/>
    <col min="7" max="7" width="17" style="7" customWidth="1"/>
    <col min="8" max="8" width="14" style="5" bestFit="1" customWidth="1"/>
    <col min="9" max="16384" width="9.140625" style="5"/>
  </cols>
  <sheetData>
    <row r="1" spans="1:7" ht="26.25" customHeight="1" x14ac:dyDescent="0.25">
      <c r="A1" s="358" t="s">
        <v>12</v>
      </c>
      <c r="B1" s="359"/>
      <c r="C1" s="359"/>
      <c r="D1" s="359"/>
      <c r="E1" s="359"/>
      <c r="F1" s="359"/>
      <c r="G1" s="360"/>
    </row>
    <row r="2" spans="1:7" ht="6.75" customHeight="1" x14ac:dyDescent="0.2">
      <c r="A2" s="361"/>
      <c r="B2" s="362"/>
      <c r="C2" s="362"/>
      <c r="D2" s="362"/>
      <c r="E2" s="362"/>
      <c r="F2" s="362"/>
      <c r="G2" s="363"/>
    </row>
    <row r="3" spans="1:7" ht="18" x14ac:dyDescent="0.2">
      <c r="A3" s="364" t="s">
        <v>13</v>
      </c>
      <c r="B3" s="365"/>
      <c r="C3" s="365"/>
      <c r="D3" s="365"/>
      <c r="E3" s="365"/>
      <c r="F3" s="365"/>
      <c r="G3" s="366"/>
    </row>
    <row r="4" spans="1:7" ht="8.25" customHeight="1" x14ac:dyDescent="0.2">
      <c r="A4" s="6"/>
      <c r="F4" s="7"/>
      <c r="G4" s="8"/>
    </row>
    <row r="5" spans="1:7" ht="17.25" customHeight="1" thickBot="1" x14ac:dyDescent="0.3">
      <c r="A5" s="367" t="s">
        <v>14</v>
      </c>
      <c r="B5" s="368"/>
      <c r="C5" s="368"/>
      <c r="D5" s="368"/>
      <c r="E5" s="368"/>
      <c r="F5" s="368"/>
      <c r="G5" s="369"/>
    </row>
    <row r="6" spans="1:7" x14ac:dyDescent="0.2">
      <c r="A6" s="9" t="s">
        <v>15</v>
      </c>
      <c r="B6" s="10"/>
      <c r="C6" s="10"/>
      <c r="D6" s="10"/>
      <c r="E6" s="10"/>
      <c r="F6" s="10"/>
      <c r="G6" s="11"/>
    </row>
    <row r="7" spans="1:7" x14ac:dyDescent="0.2">
      <c r="A7" s="12"/>
      <c r="C7" s="13"/>
      <c r="D7" s="13"/>
      <c r="E7" s="13"/>
      <c r="F7" s="13"/>
      <c r="G7" s="14" t="s">
        <v>16</v>
      </c>
    </row>
    <row r="8" spans="1:7" x14ac:dyDescent="0.2">
      <c r="A8" s="12"/>
      <c r="D8" s="7"/>
      <c r="E8" s="7"/>
      <c r="F8" s="7"/>
      <c r="G8" s="15"/>
    </row>
    <row r="9" spans="1:7" x14ac:dyDescent="0.2">
      <c r="A9" s="16" t="s">
        <v>17</v>
      </c>
      <c r="B9" s="13" t="s">
        <v>18</v>
      </c>
      <c r="C9" s="13"/>
      <c r="D9" s="17"/>
      <c r="E9" s="13"/>
      <c r="F9" s="13"/>
      <c r="G9" s="18">
        <f>SUM(G12:G23)</f>
        <v>849600</v>
      </c>
    </row>
    <row r="10" spans="1:7" ht="12" customHeight="1" x14ac:dyDescent="0.2">
      <c r="A10" s="12"/>
      <c r="B10" s="7"/>
      <c r="C10" s="7"/>
      <c r="D10" s="19"/>
      <c r="E10" s="7"/>
      <c r="F10" s="7"/>
      <c r="G10" s="20"/>
    </row>
    <row r="11" spans="1:7" s="26" customFormat="1" ht="27.75" customHeight="1" x14ac:dyDescent="0.2">
      <c r="A11" s="21"/>
      <c r="B11" s="22" t="s">
        <v>11</v>
      </c>
      <c r="C11" s="22"/>
      <c r="D11" s="23" t="s">
        <v>19</v>
      </c>
      <c r="E11" s="22" t="s">
        <v>20</v>
      </c>
      <c r="F11" s="24"/>
      <c r="G11" s="25" t="s">
        <v>21</v>
      </c>
    </row>
    <row r="12" spans="1:7" s="26" customFormat="1" ht="27" customHeight="1" x14ac:dyDescent="0.2">
      <c r="A12" s="27" t="s">
        <v>22</v>
      </c>
      <c r="B12" s="24">
        <v>1</v>
      </c>
      <c r="D12" s="28">
        <v>12</v>
      </c>
      <c r="E12" s="29">
        <v>5800</v>
      </c>
      <c r="F12" s="30">
        <f>E12*B12</f>
        <v>5800</v>
      </c>
      <c r="G12" s="25">
        <f t="shared" ref="G12:G22" si="0">E12*D12*B12</f>
        <v>69600</v>
      </c>
    </row>
    <row r="13" spans="1:7" s="26" customFormat="1" ht="21.75" customHeight="1" x14ac:dyDescent="0.2">
      <c r="A13" s="27" t="s">
        <v>23</v>
      </c>
      <c r="B13" s="24">
        <v>2</v>
      </c>
      <c r="D13" s="28">
        <v>12</v>
      </c>
      <c r="E13" s="29">
        <v>5800</v>
      </c>
      <c r="F13" s="30">
        <f>E13*B13</f>
        <v>11600</v>
      </c>
      <c r="G13" s="25">
        <f t="shared" si="0"/>
        <v>139200</v>
      </c>
    </row>
    <row r="14" spans="1:7" s="26" customFormat="1" ht="33.75" customHeight="1" x14ac:dyDescent="0.2">
      <c r="A14" s="27" t="s">
        <v>24</v>
      </c>
      <c r="B14" s="24">
        <v>2</v>
      </c>
      <c r="D14" s="28">
        <v>12</v>
      </c>
      <c r="E14" s="29">
        <v>3800</v>
      </c>
      <c r="F14" s="30">
        <f t="shared" ref="F14:F22" si="1">E14*B14</f>
        <v>7600</v>
      </c>
      <c r="G14" s="25">
        <f t="shared" si="0"/>
        <v>91200</v>
      </c>
    </row>
    <row r="15" spans="1:7" s="26" customFormat="1" ht="33.75" customHeight="1" x14ac:dyDescent="0.2">
      <c r="A15" s="27" t="s">
        <v>25</v>
      </c>
      <c r="B15" s="24">
        <v>1</v>
      </c>
      <c r="D15" s="28">
        <v>12</v>
      </c>
      <c r="E15" s="29">
        <v>7000</v>
      </c>
      <c r="F15" s="30">
        <f t="shared" si="1"/>
        <v>7000</v>
      </c>
      <c r="G15" s="25">
        <f t="shared" si="0"/>
        <v>84000</v>
      </c>
    </row>
    <row r="16" spans="1:7" s="26" customFormat="1" ht="28.5" customHeight="1" x14ac:dyDescent="0.2">
      <c r="A16" s="27" t="s">
        <v>26</v>
      </c>
      <c r="B16" s="24">
        <v>2</v>
      </c>
      <c r="D16" s="28">
        <v>12</v>
      </c>
      <c r="E16" s="29">
        <v>3800</v>
      </c>
      <c r="F16" s="30">
        <f t="shared" si="1"/>
        <v>7600</v>
      </c>
      <c r="G16" s="25">
        <f t="shared" si="0"/>
        <v>91200</v>
      </c>
    </row>
    <row r="17" spans="1:7" s="26" customFormat="1" ht="27.75" customHeight="1" x14ac:dyDescent="0.2">
      <c r="A17" s="27" t="s">
        <v>27</v>
      </c>
      <c r="B17" s="24">
        <v>1</v>
      </c>
      <c r="D17" s="28">
        <v>12</v>
      </c>
      <c r="E17" s="29">
        <v>8000</v>
      </c>
      <c r="F17" s="30">
        <f t="shared" si="1"/>
        <v>8000</v>
      </c>
      <c r="G17" s="25">
        <f t="shared" si="0"/>
        <v>96000</v>
      </c>
    </row>
    <row r="18" spans="1:7" s="26" customFormat="1" ht="22.5" customHeight="1" x14ac:dyDescent="0.2">
      <c r="A18" s="27" t="s">
        <v>28</v>
      </c>
      <c r="B18" s="24">
        <v>1</v>
      </c>
      <c r="D18" s="28">
        <v>12</v>
      </c>
      <c r="E18" s="29">
        <v>3800</v>
      </c>
      <c r="F18" s="30">
        <f t="shared" si="1"/>
        <v>3800</v>
      </c>
      <c r="G18" s="25">
        <f t="shared" si="0"/>
        <v>45600</v>
      </c>
    </row>
    <row r="19" spans="1:7" s="26" customFormat="1" ht="29.25" customHeight="1" x14ac:dyDescent="0.2">
      <c r="A19" s="27" t="s">
        <v>29</v>
      </c>
      <c r="B19" s="24">
        <v>1</v>
      </c>
      <c r="D19" s="28">
        <v>12</v>
      </c>
      <c r="E19" s="29">
        <v>4500</v>
      </c>
      <c r="F19" s="30">
        <f t="shared" si="1"/>
        <v>4500</v>
      </c>
      <c r="G19" s="25">
        <f t="shared" si="0"/>
        <v>54000</v>
      </c>
    </row>
    <row r="20" spans="1:7" s="26" customFormat="1" ht="21" customHeight="1" x14ac:dyDescent="0.2">
      <c r="A20" s="27" t="s">
        <v>30</v>
      </c>
      <c r="B20" s="24">
        <v>2</v>
      </c>
      <c r="D20" s="28">
        <v>12</v>
      </c>
      <c r="E20" s="29">
        <v>4500</v>
      </c>
      <c r="F20" s="30">
        <f t="shared" si="1"/>
        <v>9000</v>
      </c>
      <c r="G20" s="25">
        <f t="shared" si="0"/>
        <v>108000</v>
      </c>
    </row>
    <row r="21" spans="1:7" s="26" customFormat="1" ht="18" customHeight="1" x14ac:dyDescent="0.2">
      <c r="A21" s="27" t="s">
        <v>31</v>
      </c>
      <c r="B21" s="24">
        <v>1</v>
      </c>
      <c r="D21" s="28">
        <v>12</v>
      </c>
      <c r="E21" s="29">
        <v>3800</v>
      </c>
      <c r="F21" s="30">
        <f t="shared" si="1"/>
        <v>3800</v>
      </c>
      <c r="G21" s="25">
        <f t="shared" si="0"/>
        <v>45600</v>
      </c>
    </row>
    <row r="22" spans="1:7" s="26" customFormat="1" ht="25.5" customHeight="1" x14ac:dyDescent="0.2">
      <c r="A22" s="27" t="s">
        <v>32</v>
      </c>
      <c r="B22" s="24">
        <v>1</v>
      </c>
      <c r="D22" s="28">
        <v>12</v>
      </c>
      <c r="E22" s="29">
        <v>2100</v>
      </c>
      <c r="F22" s="30">
        <f t="shared" si="1"/>
        <v>2100</v>
      </c>
      <c r="G22" s="25">
        <f t="shared" si="0"/>
        <v>25200</v>
      </c>
    </row>
    <row r="23" spans="1:7" ht="19.5" customHeight="1" x14ac:dyDescent="0.2">
      <c r="A23" s="27"/>
      <c r="B23" s="24">
        <f>SUM(B12:B22)</f>
        <v>15</v>
      </c>
      <c r="C23" s="31"/>
      <c r="D23" s="32"/>
      <c r="E23" s="29">
        <f>SUM(E12:E22)</f>
        <v>52900</v>
      </c>
      <c r="F23" s="33">
        <f>SUM(F12:F22)</f>
        <v>70800</v>
      </c>
      <c r="G23" s="25"/>
    </row>
    <row r="24" spans="1:7" ht="26.25" customHeight="1" x14ac:dyDescent="0.2">
      <c r="A24" s="27" t="s">
        <v>33</v>
      </c>
      <c r="C24" s="22"/>
      <c r="D24" s="32"/>
      <c r="E24" s="29"/>
      <c r="F24" s="7"/>
      <c r="G24" s="25"/>
    </row>
    <row r="25" spans="1:7" ht="8.25" customHeight="1" x14ac:dyDescent="0.2">
      <c r="A25" s="12"/>
      <c r="B25" s="7"/>
      <c r="C25" s="7"/>
      <c r="D25" s="19"/>
      <c r="E25" s="7"/>
      <c r="F25" s="7"/>
      <c r="G25" s="20"/>
    </row>
    <row r="26" spans="1:7" s="26" customFormat="1" ht="18" customHeight="1" x14ac:dyDescent="0.2">
      <c r="A26" s="34" t="s">
        <v>34</v>
      </c>
      <c r="B26" s="35" t="s">
        <v>35</v>
      </c>
      <c r="G26" s="36">
        <f>G9</f>
        <v>849600</v>
      </c>
    </row>
    <row r="27" spans="1:7" x14ac:dyDescent="0.2">
      <c r="A27" s="12"/>
      <c r="G27" s="20"/>
    </row>
    <row r="28" spans="1:7" s="26" customFormat="1" ht="18" customHeight="1" x14ac:dyDescent="0.2">
      <c r="A28" s="34" t="s">
        <v>36</v>
      </c>
      <c r="G28" s="36">
        <f>G29</f>
        <v>620208</v>
      </c>
    </row>
    <row r="29" spans="1:7" s="26" customFormat="1" ht="18" customHeight="1" x14ac:dyDescent="0.2">
      <c r="A29" s="21" t="s">
        <v>37</v>
      </c>
      <c r="B29" s="37">
        <v>0.73</v>
      </c>
      <c r="C29" s="35" t="s">
        <v>38</v>
      </c>
      <c r="G29" s="25">
        <f>B29*G9</f>
        <v>620208</v>
      </c>
    </row>
    <row r="30" spans="1:7" x14ac:dyDescent="0.2">
      <c r="A30" s="12"/>
      <c r="B30" s="38"/>
      <c r="G30" s="20"/>
    </row>
    <row r="31" spans="1:7" s="26" customFormat="1" ht="18" customHeight="1" x14ac:dyDescent="0.2">
      <c r="A31" s="34" t="s">
        <v>39</v>
      </c>
      <c r="C31" s="35" t="s">
        <v>38</v>
      </c>
      <c r="G31" s="39">
        <f>G26+G28</f>
        <v>1469808</v>
      </c>
    </row>
    <row r="32" spans="1:7" x14ac:dyDescent="0.2">
      <c r="A32" s="12"/>
      <c r="G32" s="20"/>
    </row>
    <row r="33" spans="1:7" s="26" customFormat="1" ht="18" customHeight="1" x14ac:dyDescent="0.2">
      <c r="A33" s="34" t="s">
        <v>40</v>
      </c>
      <c r="B33" s="35" t="s">
        <v>35</v>
      </c>
      <c r="G33" s="39">
        <f>G35</f>
        <v>220471.19999999998</v>
      </c>
    </row>
    <row r="34" spans="1:7" x14ac:dyDescent="0.2">
      <c r="A34" s="12"/>
      <c r="G34" s="20"/>
    </row>
    <row r="35" spans="1:7" s="26" customFormat="1" ht="18" customHeight="1" x14ac:dyDescent="0.2">
      <c r="A35" s="21" t="s">
        <v>41</v>
      </c>
      <c r="B35" s="37">
        <v>0.15</v>
      </c>
      <c r="C35" s="40" t="s">
        <v>42</v>
      </c>
      <c r="G35" s="25">
        <f>B35*G31</f>
        <v>220471.19999999998</v>
      </c>
    </row>
    <row r="36" spans="1:7" x14ac:dyDescent="0.2">
      <c r="G36" s="25"/>
    </row>
    <row r="37" spans="1:7" s="26" customFormat="1" ht="18" customHeight="1" x14ac:dyDescent="0.2">
      <c r="A37" s="34" t="s">
        <v>79</v>
      </c>
      <c r="B37" s="35" t="s">
        <v>35</v>
      </c>
      <c r="G37" s="39">
        <f>G33+G31</f>
        <v>1690279.2</v>
      </c>
    </row>
    <row r="38" spans="1:7" x14ac:dyDescent="0.2">
      <c r="A38" s="12"/>
      <c r="G38" s="20"/>
    </row>
    <row r="39" spans="1:7" s="26" customFormat="1" ht="18" customHeight="1" x14ac:dyDescent="0.2">
      <c r="A39" s="34" t="s">
        <v>80</v>
      </c>
      <c r="B39" s="35" t="s">
        <v>35</v>
      </c>
      <c r="G39" s="39">
        <f>SUM(G41:G41)</f>
        <v>152125.128</v>
      </c>
    </row>
    <row r="40" spans="1:7" x14ac:dyDescent="0.2">
      <c r="A40" s="12"/>
      <c r="B40" s="42"/>
      <c r="C40" s="43"/>
      <c r="D40" s="44"/>
      <c r="G40" s="20"/>
    </row>
    <row r="41" spans="1:7" s="26" customFormat="1" ht="18" customHeight="1" x14ac:dyDescent="0.2">
      <c r="A41" s="21" t="s">
        <v>81</v>
      </c>
      <c r="B41" s="37">
        <v>0.09</v>
      </c>
      <c r="C41" s="40" t="s">
        <v>42</v>
      </c>
      <c r="G41" s="25">
        <f>B41*$G$37</f>
        <v>152125.128</v>
      </c>
    </row>
    <row r="42" spans="1:7" x14ac:dyDescent="0.2">
      <c r="A42" s="12"/>
      <c r="B42" s="45"/>
      <c r="C42" s="43"/>
      <c r="D42" s="44"/>
      <c r="G42" s="46"/>
    </row>
    <row r="43" spans="1:7" s="26" customFormat="1" ht="18" customHeight="1" x14ac:dyDescent="0.2">
      <c r="A43" s="34" t="s">
        <v>82</v>
      </c>
      <c r="G43" s="39">
        <f>(G39+G37)/(1-B50)-(G37+G39)</f>
        <v>174458.64736945811</v>
      </c>
    </row>
    <row r="44" spans="1:7" x14ac:dyDescent="0.2">
      <c r="A44" s="12"/>
      <c r="G44" s="46"/>
    </row>
    <row r="45" spans="1:7" ht="25.5" x14ac:dyDescent="0.2">
      <c r="A45" s="12"/>
      <c r="B45" s="47" t="s">
        <v>45</v>
      </c>
      <c r="C45" s="47"/>
      <c r="G45" s="46"/>
    </row>
    <row r="46" spans="1:7" s="26" customFormat="1" ht="18" customHeight="1" x14ac:dyDescent="0.2">
      <c r="A46" s="21" t="s">
        <v>8</v>
      </c>
      <c r="B46" s="37">
        <v>6.4999999999999997E-3</v>
      </c>
      <c r="C46" s="40"/>
      <c r="G46" s="25"/>
    </row>
    <row r="47" spans="1:7" s="26" customFormat="1" ht="18" customHeight="1" x14ac:dyDescent="0.2">
      <c r="A47" s="21" t="s">
        <v>9</v>
      </c>
      <c r="B47" s="37">
        <v>0.03</v>
      </c>
      <c r="C47" s="40"/>
      <c r="G47" s="25"/>
    </row>
    <row r="48" spans="1:7" s="26" customFormat="1" ht="18" customHeight="1" x14ac:dyDescent="0.2">
      <c r="A48" s="21" t="s">
        <v>46</v>
      </c>
      <c r="B48" s="37">
        <f>5/100</f>
        <v>0.05</v>
      </c>
      <c r="C48" s="40"/>
      <c r="G48" s="25"/>
    </row>
    <row r="49" spans="1:7" ht="10.5" customHeight="1" x14ac:dyDescent="0.2">
      <c r="A49" s="12"/>
      <c r="B49" s="48"/>
      <c r="D49" s="370"/>
      <c r="E49" s="371"/>
      <c r="F49" s="371"/>
      <c r="G49" s="46"/>
    </row>
    <row r="50" spans="1:7" ht="18" customHeight="1" x14ac:dyDescent="0.2">
      <c r="A50" s="16" t="s">
        <v>47</v>
      </c>
      <c r="B50" s="49">
        <f>SUM(B46:B48)</f>
        <v>8.6499999999999994E-2</v>
      </c>
      <c r="C50" s="49"/>
      <c r="D50" s="50"/>
      <c r="F50" s="51"/>
      <c r="G50" s="46"/>
    </row>
    <row r="51" spans="1:7" x14ac:dyDescent="0.2">
      <c r="A51" s="52"/>
      <c r="G51" s="46"/>
    </row>
    <row r="52" spans="1:7" s="26" customFormat="1" ht="18" customHeight="1" x14ac:dyDescent="0.2">
      <c r="A52" s="34" t="s">
        <v>83</v>
      </c>
      <c r="B52" s="35" t="s">
        <v>35</v>
      </c>
      <c r="G52" s="39">
        <f>G53+G54</f>
        <v>85490</v>
      </c>
    </row>
    <row r="53" spans="1:7" ht="27" customHeight="1" x14ac:dyDescent="0.2">
      <c r="A53" s="27" t="s">
        <v>84</v>
      </c>
      <c r="B53" s="7" t="s">
        <v>43</v>
      </c>
      <c r="C53" s="40" t="s">
        <v>44</v>
      </c>
      <c r="F53" s="41"/>
      <c r="G53" s="20">
        <v>50000</v>
      </c>
    </row>
    <row r="54" spans="1:7" ht="27" customHeight="1" x14ac:dyDescent="0.2">
      <c r="A54" s="27" t="s">
        <v>85</v>
      </c>
      <c r="B54" s="7" t="s">
        <v>43</v>
      </c>
      <c r="C54" s="40" t="s">
        <v>44</v>
      </c>
      <c r="F54" s="41"/>
      <c r="G54" s="20">
        <v>35490</v>
      </c>
    </row>
    <row r="55" spans="1:7" x14ac:dyDescent="0.2">
      <c r="A55" s="52"/>
      <c r="G55" s="46"/>
    </row>
    <row r="56" spans="1:7" x14ac:dyDescent="0.2">
      <c r="A56" s="52"/>
      <c r="G56" s="46"/>
    </row>
    <row r="57" spans="1:7" x14ac:dyDescent="0.2">
      <c r="A57" s="52"/>
      <c r="G57" s="46"/>
    </row>
    <row r="58" spans="1:7" x14ac:dyDescent="0.2">
      <c r="A58" s="52"/>
      <c r="G58" s="46"/>
    </row>
    <row r="59" spans="1:7" s="26" customFormat="1" ht="18" customHeight="1" x14ac:dyDescent="0.2">
      <c r="A59" s="34" t="s">
        <v>86</v>
      </c>
      <c r="B59" s="35" t="s">
        <v>35</v>
      </c>
      <c r="C59" s="40"/>
      <c r="D59" s="40"/>
      <c r="E59" s="40"/>
      <c r="F59" s="40"/>
      <c r="G59" s="39">
        <f>G43+G39+G37+G52</f>
        <v>2102352.9753694581</v>
      </c>
    </row>
    <row r="60" spans="1:7" s="26" customFormat="1" ht="13.5" thickBot="1" x14ac:dyDescent="0.25">
      <c r="A60" s="21"/>
      <c r="G60" s="53"/>
    </row>
    <row r="61" spans="1:7" s="26" customFormat="1" ht="18" customHeight="1" thickBot="1" x14ac:dyDescent="0.25">
      <c r="A61" s="54"/>
      <c r="B61" s="55"/>
      <c r="C61" s="56" t="s">
        <v>48</v>
      </c>
      <c r="D61" s="57"/>
      <c r="E61" s="57"/>
      <c r="F61" s="58"/>
      <c r="G61" s="59">
        <f>G59/12</f>
        <v>175196.08128078817</v>
      </c>
    </row>
    <row r="62" spans="1:7" s="60" customFormat="1" x14ac:dyDescent="0.2">
      <c r="G62" s="61"/>
    </row>
    <row r="63" spans="1:7" s="66" customFormat="1" x14ac:dyDescent="0.2">
      <c r="A63" s="62"/>
      <c r="B63" s="63" t="s">
        <v>49</v>
      </c>
      <c r="C63" s="63"/>
      <c r="D63" s="63"/>
      <c r="E63" s="63"/>
      <c r="F63" s="64" t="s">
        <v>10</v>
      </c>
      <c r="G63" s="65">
        <f>G59-G26</f>
        <v>1252752.9753694581</v>
      </c>
    </row>
    <row r="64" spans="1:7" s="66" customFormat="1" x14ac:dyDescent="0.2">
      <c r="A64" s="62"/>
      <c r="B64" s="63" t="s">
        <v>50</v>
      </c>
      <c r="C64" s="63"/>
      <c r="D64" s="63"/>
      <c r="E64" s="63"/>
      <c r="F64" s="64"/>
      <c r="G64" s="67">
        <f>G63/G26</f>
        <v>1.4745209220450306</v>
      </c>
    </row>
    <row r="65" spans="1:8" s="60" customFormat="1" x14ac:dyDescent="0.2">
      <c r="G65" s="61"/>
    </row>
    <row r="66" spans="1:8" ht="38.25" x14ac:dyDescent="0.2">
      <c r="A66" s="68" t="s">
        <v>51</v>
      </c>
      <c r="B66" s="69" t="s">
        <v>11</v>
      </c>
      <c r="C66" s="70" t="s">
        <v>52</v>
      </c>
      <c r="D66" s="70" t="s">
        <v>53</v>
      </c>
      <c r="E66" s="71" t="s">
        <v>19</v>
      </c>
      <c r="F66" s="70" t="s">
        <v>54</v>
      </c>
      <c r="G66" s="72"/>
    </row>
    <row r="67" spans="1:8" s="26" customFormat="1" ht="31.5" customHeight="1" x14ac:dyDescent="0.2">
      <c r="A67" s="88" t="str">
        <f t="shared" ref="A67:B77" si="2">A12</f>
        <v>Coordenador Geral da Equipe da Empresa Gerenciadora</v>
      </c>
      <c r="B67" s="73">
        <f t="shared" si="2"/>
        <v>1</v>
      </c>
      <c r="C67" s="74">
        <f t="shared" ref="C67:C77" si="3">E12</f>
        <v>5800</v>
      </c>
      <c r="D67" s="75">
        <f>C67*(1+$G$64)</f>
        <v>14352.221347861177</v>
      </c>
      <c r="E67" s="73">
        <v>12</v>
      </c>
      <c r="F67" s="76">
        <f>E67*D67*B67</f>
        <v>172226.65617433412</v>
      </c>
      <c r="G67" s="77"/>
    </row>
    <row r="68" spans="1:8" s="26" customFormat="1" ht="24" customHeight="1" x14ac:dyDescent="0.2">
      <c r="A68" s="88" t="str">
        <f t="shared" si="2"/>
        <v>Advogado (Asses. Jurídico)</v>
      </c>
      <c r="B68" s="73">
        <f t="shared" si="2"/>
        <v>2</v>
      </c>
      <c r="C68" s="74">
        <f t="shared" si="3"/>
        <v>5800</v>
      </c>
      <c r="D68" s="75">
        <f>C68*(1+$G$64)</f>
        <v>14352.221347861177</v>
      </c>
      <c r="E68" s="73">
        <v>12</v>
      </c>
      <c r="F68" s="76">
        <f t="shared" ref="F68:F74" si="4">E68*D68*B68</f>
        <v>344453.31234866823</v>
      </c>
      <c r="G68" s="77"/>
    </row>
    <row r="69" spans="1:8" s="26" customFormat="1" ht="30" customHeight="1" x14ac:dyDescent="0.2">
      <c r="A69" s="88" t="str">
        <f t="shared" si="2"/>
        <v>Técnico em Aquisições/Licitações e Contratos</v>
      </c>
      <c r="B69" s="73">
        <f t="shared" si="2"/>
        <v>2</v>
      </c>
      <c r="C69" s="74">
        <f t="shared" si="3"/>
        <v>3800</v>
      </c>
      <c r="D69" s="75">
        <f t="shared" ref="D69:D77" si="5">C69*(1+$G$64)</f>
        <v>9403.1795037711163</v>
      </c>
      <c r="E69" s="73">
        <v>12</v>
      </c>
      <c r="F69" s="76">
        <f t="shared" si="4"/>
        <v>225676.30809050679</v>
      </c>
      <c r="G69" s="77"/>
    </row>
    <row r="70" spans="1:8" s="26" customFormat="1" ht="30.75" customHeight="1" x14ac:dyDescent="0.2">
      <c r="A70" s="88" t="str">
        <f t="shared" si="2"/>
        <v>Especialista em Gerenciamento Administrativo e Financeiro</v>
      </c>
      <c r="B70" s="73">
        <f t="shared" si="2"/>
        <v>1</v>
      </c>
      <c r="C70" s="74">
        <f t="shared" si="3"/>
        <v>7000</v>
      </c>
      <c r="D70" s="75">
        <f t="shared" si="5"/>
        <v>17321.646454315214</v>
      </c>
      <c r="E70" s="73">
        <v>12</v>
      </c>
      <c r="F70" s="76">
        <f t="shared" si="4"/>
        <v>207859.75745178259</v>
      </c>
      <c r="G70" s="77"/>
    </row>
    <row r="71" spans="1:8" s="26" customFormat="1" ht="30" customHeight="1" x14ac:dyDescent="0.2">
      <c r="A71" s="88" t="str">
        <f t="shared" si="2"/>
        <v>Técnico em Gerenciamento Administrativo e Financeiro</v>
      </c>
      <c r="B71" s="73">
        <f t="shared" si="2"/>
        <v>2</v>
      </c>
      <c r="C71" s="74">
        <f t="shared" si="3"/>
        <v>3800</v>
      </c>
      <c r="D71" s="75">
        <f t="shared" si="5"/>
        <v>9403.1795037711163</v>
      </c>
      <c r="E71" s="73">
        <v>12</v>
      </c>
      <c r="F71" s="76">
        <f t="shared" si="4"/>
        <v>225676.30809050679</v>
      </c>
      <c r="G71" s="77"/>
    </row>
    <row r="72" spans="1:8" s="26" customFormat="1" ht="27.75" customHeight="1" x14ac:dyDescent="0.2">
      <c r="A72" s="88" t="str">
        <f t="shared" si="2"/>
        <v>Especialista em Monitoramento de Projetos</v>
      </c>
      <c r="B72" s="73">
        <f t="shared" si="2"/>
        <v>1</v>
      </c>
      <c r="C72" s="74">
        <f t="shared" si="3"/>
        <v>8000</v>
      </c>
      <c r="D72" s="75">
        <f t="shared" si="5"/>
        <v>19796.167376360245</v>
      </c>
      <c r="E72" s="73">
        <v>12</v>
      </c>
      <c r="F72" s="76">
        <f>E72*D72*B72</f>
        <v>237554.00851632294</v>
      </c>
      <c r="G72" s="77"/>
    </row>
    <row r="73" spans="1:8" s="26" customFormat="1" ht="24.75" customHeight="1" x14ac:dyDescent="0.2">
      <c r="A73" s="88" t="str">
        <f t="shared" si="2"/>
        <v>Técnico em Monitoramento de Projetos</v>
      </c>
      <c r="B73" s="73">
        <f t="shared" si="2"/>
        <v>1</v>
      </c>
      <c r="C73" s="74">
        <f t="shared" si="3"/>
        <v>3800</v>
      </c>
      <c r="D73" s="75">
        <f t="shared" si="5"/>
        <v>9403.1795037711163</v>
      </c>
      <c r="E73" s="73">
        <v>12</v>
      </c>
      <c r="F73" s="76">
        <f>E73*D73*B73</f>
        <v>112838.1540452534</v>
      </c>
      <c r="G73" s="77"/>
    </row>
    <row r="74" spans="1:8" s="26" customFormat="1" ht="28.5" customHeight="1" x14ac:dyDescent="0.2">
      <c r="A74" s="88" t="str">
        <f t="shared" si="2"/>
        <v>Especialista Sênior em Monitoramento Sócioambiental</v>
      </c>
      <c r="B74" s="73">
        <f t="shared" si="2"/>
        <v>1</v>
      </c>
      <c r="C74" s="74">
        <f t="shared" si="3"/>
        <v>4500</v>
      </c>
      <c r="D74" s="75">
        <f t="shared" si="5"/>
        <v>11135.344149202638</v>
      </c>
      <c r="E74" s="73">
        <v>12</v>
      </c>
      <c r="F74" s="76">
        <f t="shared" si="4"/>
        <v>133624.12979043165</v>
      </c>
      <c r="G74" s="77"/>
    </row>
    <row r="75" spans="1:8" s="26" customFormat="1" ht="28.5" customHeight="1" x14ac:dyDescent="0.2">
      <c r="A75" s="88" t="str">
        <f t="shared" si="2"/>
        <v>Especialista Ambiental</v>
      </c>
      <c r="B75" s="73">
        <f t="shared" si="2"/>
        <v>2</v>
      </c>
      <c r="C75" s="74">
        <f t="shared" si="3"/>
        <v>4500</v>
      </c>
      <c r="D75" s="75">
        <f t="shared" si="5"/>
        <v>11135.344149202638</v>
      </c>
      <c r="E75" s="73">
        <v>12</v>
      </c>
      <c r="F75" s="76">
        <f>E75*D75*B75</f>
        <v>267248.25958086329</v>
      </c>
      <c r="G75" s="77"/>
    </row>
    <row r="76" spans="1:8" s="26" customFormat="1" ht="28.5" customHeight="1" x14ac:dyDescent="0.2">
      <c r="A76" s="88" t="str">
        <f t="shared" si="2"/>
        <v>Técnico Ambiental</v>
      </c>
      <c r="B76" s="73">
        <f t="shared" si="2"/>
        <v>1</v>
      </c>
      <c r="C76" s="74">
        <f t="shared" si="3"/>
        <v>3800</v>
      </c>
      <c r="D76" s="75">
        <f t="shared" si="5"/>
        <v>9403.1795037711163</v>
      </c>
      <c r="E76" s="73">
        <v>12</v>
      </c>
      <c r="F76" s="76">
        <f>E76*D76*B76</f>
        <v>112838.1540452534</v>
      </c>
      <c r="G76" s="77"/>
    </row>
    <row r="77" spans="1:8" s="26" customFormat="1" ht="28.5" customHeight="1" x14ac:dyDescent="0.2">
      <c r="A77" s="88" t="str">
        <f t="shared" si="2"/>
        <v>Apoio Informática/Digitação</v>
      </c>
      <c r="B77" s="73">
        <f t="shared" si="2"/>
        <v>1</v>
      </c>
      <c r="C77" s="74">
        <f t="shared" si="3"/>
        <v>2100</v>
      </c>
      <c r="D77" s="75">
        <f t="shared" si="5"/>
        <v>5196.4939362945643</v>
      </c>
      <c r="E77" s="73">
        <v>12</v>
      </c>
      <c r="F77" s="76">
        <f>E77*D77*B77</f>
        <v>62357.927235534771</v>
      </c>
      <c r="G77" s="77"/>
    </row>
    <row r="78" spans="1:8" s="26" customFormat="1" ht="19.5" customHeight="1" x14ac:dyDescent="0.2">
      <c r="A78" s="71" t="s">
        <v>55</v>
      </c>
      <c r="B78" s="73">
        <f>SUM(B67:B77)</f>
        <v>15</v>
      </c>
      <c r="C78" s="78"/>
      <c r="D78" s="79"/>
      <c r="E78" s="73"/>
      <c r="F78" s="80">
        <f>SUM(F67:F77)</f>
        <v>2102352.9753694576</v>
      </c>
      <c r="G78" s="77"/>
    </row>
    <row r="79" spans="1:8" ht="30.75" customHeight="1" x14ac:dyDescent="0.2">
      <c r="A79" s="372" t="s">
        <v>56</v>
      </c>
      <c r="B79" s="373"/>
      <c r="C79" s="373"/>
      <c r="D79" s="373"/>
      <c r="E79" s="374"/>
      <c r="F79" s="81">
        <f>F78/12</f>
        <v>175196.08128078814</v>
      </c>
      <c r="H79" s="82"/>
    </row>
    <row r="80" spans="1:8" ht="44.25" hidden="1" customHeight="1" x14ac:dyDescent="0.2">
      <c r="A80" s="356" t="s">
        <v>57</v>
      </c>
      <c r="B80" s="357"/>
      <c r="C80" s="357"/>
      <c r="D80" s="357"/>
      <c r="E80" s="357"/>
      <c r="F80" s="83"/>
      <c r="G80" s="84" t="e">
        <f>(F67+F68+F70+F71+F72+F73+F74+#REF!)/12</f>
        <v>#REF!</v>
      </c>
    </row>
    <row r="81" spans="6:8" s="40" customFormat="1" ht="18" customHeight="1" x14ac:dyDescent="0.2">
      <c r="F81" s="85"/>
      <c r="G81" s="86"/>
    </row>
    <row r="82" spans="6:8" x14ac:dyDescent="0.2">
      <c r="G82" s="33"/>
      <c r="H82" s="40"/>
    </row>
    <row r="83" spans="6:8" x14ac:dyDescent="0.2">
      <c r="G83" s="33"/>
      <c r="H83" s="40"/>
    </row>
    <row r="84" spans="6:8" x14ac:dyDescent="0.2">
      <c r="G84" s="87"/>
      <c r="H84" s="40"/>
    </row>
    <row r="85" spans="6:8" x14ac:dyDescent="0.2">
      <c r="G85" s="87"/>
      <c r="H85" s="40"/>
    </row>
    <row r="86" spans="6:8" x14ac:dyDescent="0.2">
      <c r="G86" s="87"/>
    </row>
  </sheetData>
  <mergeCells count="7">
    <mergeCell ref="A80:E80"/>
    <mergeCell ref="A1:G1"/>
    <mergeCell ref="A2:G2"/>
    <mergeCell ref="A3:G3"/>
    <mergeCell ref="A5:G5"/>
    <mergeCell ref="D49:F49"/>
    <mergeCell ref="A79:E7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4" workbookViewId="0">
      <selection activeCell="C13" sqref="C13:D14"/>
    </sheetView>
  </sheetViews>
  <sheetFormatPr defaultRowHeight="12.75" x14ac:dyDescent="0.2"/>
  <cols>
    <col min="1" max="1" width="7.28515625" bestFit="1" customWidth="1"/>
    <col min="2" max="2" width="56.42578125" customWidth="1"/>
    <col min="3" max="3" width="13.28515625" customWidth="1"/>
    <col min="4" max="4" width="12.42578125" customWidth="1"/>
    <col min="5" max="5" width="17" customWidth="1"/>
    <col min="6" max="6" width="19" customWidth="1"/>
  </cols>
  <sheetData>
    <row r="1" spans="1:8" ht="13.5" thickBot="1" x14ac:dyDescent="0.25">
      <c r="A1" s="89" t="s">
        <v>58</v>
      </c>
    </row>
    <row r="2" spans="1:8" ht="17.25" thickTop="1" thickBot="1" x14ac:dyDescent="0.25">
      <c r="A2" s="375" t="s">
        <v>59</v>
      </c>
      <c r="B2" s="376"/>
      <c r="C2" s="376"/>
      <c r="D2" s="377"/>
    </row>
    <row r="3" spans="1:8" ht="31.5" thickTop="1" thickBot="1" x14ac:dyDescent="0.25">
      <c r="A3" s="90" t="s">
        <v>60</v>
      </c>
      <c r="B3" s="91" t="s">
        <v>61</v>
      </c>
      <c r="C3" s="92" t="s">
        <v>62</v>
      </c>
      <c r="D3" s="93" t="s">
        <v>63</v>
      </c>
    </row>
    <row r="4" spans="1:8" ht="16.5" thickTop="1" thickBot="1" x14ac:dyDescent="0.3">
      <c r="A4" s="94" t="s">
        <v>64</v>
      </c>
      <c r="B4" s="95" t="s">
        <v>65</v>
      </c>
      <c r="C4" s="96">
        <v>1154.8</v>
      </c>
      <c r="D4" s="97">
        <v>461.2</v>
      </c>
    </row>
    <row r="5" spans="1:8" ht="45.75" customHeight="1" thickTop="1" thickBot="1" x14ac:dyDescent="0.3">
      <c r="A5" s="98" t="s">
        <v>66</v>
      </c>
      <c r="B5" s="99" t="s">
        <v>67</v>
      </c>
      <c r="C5" s="100">
        <v>604</v>
      </c>
      <c r="D5" s="101">
        <v>230.9</v>
      </c>
    </row>
    <row r="6" spans="1:8" ht="40.5" thickTop="1" thickBot="1" x14ac:dyDescent="0.3">
      <c r="A6" s="94" t="s">
        <v>68</v>
      </c>
      <c r="B6" s="102" t="s">
        <v>69</v>
      </c>
      <c r="C6" s="96">
        <v>474.8</v>
      </c>
      <c r="D6" s="97">
        <v>189.9</v>
      </c>
    </row>
    <row r="7" spans="1:8" ht="16.5" thickTop="1" thickBot="1" x14ac:dyDescent="0.3">
      <c r="A7" s="98" t="s">
        <v>70</v>
      </c>
      <c r="B7" s="99" t="s">
        <v>71</v>
      </c>
      <c r="C7" s="100">
        <v>357</v>
      </c>
      <c r="D7" s="103">
        <v>142.80000000000001</v>
      </c>
    </row>
    <row r="8" spans="1:8" ht="16.5" thickTop="1" thickBot="1" x14ac:dyDescent="0.3">
      <c r="A8" s="94" t="s">
        <v>72</v>
      </c>
      <c r="B8" s="95" t="s">
        <v>73</v>
      </c>
      <c r="C8" s="96">
        <v>214.2</v>
      </c>
      <c r="D8" s="97">
        <v>85.68</v>
      </c>
    </row>
    <row r="9" spans="1:8" ht="13.5" thickTop="1" x14ac:dyDescent="0.2"/>
    <row r="11" spans="1:8" ht="45" x14ac:dyDescent="0.2">
      <c r="B11" s="104" t="s">
        <v>74</v>
      </c>
      <c r="C11" s="105" t="s">
        <v>62</v>
      </c>
      <c r="D11" s="106" t="s">
        <v>63</v>
      </c>
      <c r="E11" s="105" t="s">
        <v>75</v>
      </c>
      <c r="F11" s="106" t="s">
        <v>76</v>
      </c>
      <c r="H11">
        <f>15+25</f>
        <v>40</v>
      </c>
    </row>
    <row r="12" spans="1:8" ht="16.5" customHeight="1" x14ac:dyDescent="0.2">
      <c r="B12" s="107" t="s">
        <v>22</v>
      </c>
      <c r="C12" s="108">
        <v>600</v>
      </c>
      <c r="D12" s="108">
        <v>230</v>
      </c>
      <c r="E12" s="109">
        <f>C12*15</f>
        <v>9000</v>
      </c>
      <c r="F12" s="109">
        <f>D12*25</f>
        <v>5750</v>
      </c>
    </row>
    <row r="13" spans="1:8" ht="54.75" customHeight="1" x14ac:dyDescent="0.2">
      <c r="B13" s="110" t="s">
        <v>77</v>
      </c>
      <c r="C13" s="108">
        <v>474</v>
      </c>
      <c r="D13" s="108">
        <v>189</v>
      </c>
      <c r="E13" s="109">
        <f>C13*15</f>
        <v>7110</v>
      </c>
      <c r="F13" s="109">
        <f>D13*25</f>
        <v>4725</v>
      </c>
    </row>
    <row r="14" spans="1:8" ht="40.5" customHeight="1" x14ac:dyDescent="0.2">
      <c r="B14" s="110" t="s">
        <v>78</v>
      </c>
      <c r="C14" s="108">
        <v>357</v>
      </c>
      <c r="D14" s="108">
        <v>142</v>
      </c>
      <c r="E14" s="109">
        <f>C14*15</f>
        <v>5355</v>
      </c>
      <c r="F14" s="109">
        <f>D14*25</f>
        <v>3550</v>
      </c>
    </row>
    <row r="15" spans="1:8" x14ac:dyDescent="0.2">
      <c r="F15" s="111">
        <f>SUM(E12:F14)</f>
        <v>35490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6" zoomScaleNormal="100" workbookViewId="0">
      <selection activeCell="L42" sqref="L42"/>
    </sheetView>
  </sheetViews>
  <sheetFormatPr defaultRowHeight="12.75" x14ac:dyDescent="0.2"/>
  <cols>
    <col min="1" max="1" width="5.42578125" style="179" bestFit="1" customWidth="1"/>
    <col min="2" max="2" width="56.85546875" style="177" customWidth="1"/>
    <col min="3" max="3" width="13.7109375" style="179" bestFit="1" customWidth="1"/>
    <col min="4" max="4" width="12.7109375" style="179" customWidth="1"/>
    <col min="5" max="5" width="14.7109375" style="180" customWidth="1"/>
    <col min="6" max="6" width="16.7109375" style="180" customWidth="1"/>
    <col min="7" max="7" width="9.140625" style="180"/>
    <col min="8" max="8" width="9.85546875" style="180" bestFit="1" customWidth="1"/>
    <col min="9" max="9" width="9.140625" style="180"/>
    <col min="10" max="10" width="11.7109375" style="180" bestFit="1" customWidth="1"/>
    <col min="11" max="11" width="9.140625" style="177"/>
    <col min="12" max="12" width="11.140625" style="177" bestFit="1" customWidth="1"/>
    <col min="13" max="16384" width="9.140625" style="177"/>
  </cols>
  <sheetData>
    <row r="1" spans="1:10" x14ac:dyDescent="0.2">
      <c r="A1"/>
      <c r="B1"/>
      <c r="C1"/>
      <c r="D1" s="172"/>
      <c r="E1"/>
      <c r="F1"/>
    </row>
    <row r="2" spans="1:10" x14ac:dyDescent="0.2">
      <c r="A2"/>
      <c r="B2"/>
      <c r="C2"/>
      <c r="D2" s="172"/>
      <c r="E2"/>
      <c r="F2"/>
    </row>
    <row r="3" spans="1:10" x14ac:dyDescent="0.2">
      <c r="A3"/>
      <c r="B3"/>
      <c r="C3"/>
      <c r="D3" s="172"/>
      <c r="E3"/>
      <c r="F3"/>
    </row>
    <row r="4" spans="1:10" x14ac:dyDescent="0.2">
      <c r="A4"/>
      <c r="B4"/>
      <c r="C4"/>
      <c r="D4" s="172"/>
      <c r="E4"/>
      <c r="F4"/>
    </row>
    <row r="5" spans="1:10" x14ac:dyDescent="0.2">
      <c r="A5" s="378" t="s">
        <v>347</v>
      </c>
      <c r="B5" s="378"/>
      <c r="C5" s="378"/>
      <c r="D5" s="378"/>
      <c r="E5" s="378"/>
      <c r="F5" s="378"/>
    </row>
    <row r="6" spans="1:10" ht="13.5" thickBot="1" x14ac:dyDescent="0.25"/>
    <row r="7" spans="1:10" ht="31.5" thickTop="1" thickBot="1" x14ac:dyDescent="0.25">
      <c r="A7" s="381" t="s">
        <v>248</v>
      </c>
      <c r="B7" s="382"/>
      <c r="C7" s="382"/>
      <c r="D7" s="382"/>
      <c r="E7" s="382"/>
      <c r="F7" s="383"/>
      <c r="G7" s="177"/>
      <c r="H7" s="177"/>
      <c r="I7" s="177"/>
      <c r="J7" s="177"/>
    </row>
    <row r="8" spans="1:10" ht="39.75" thickTop="1" thickBot="1" x14ac:dyDescent="0.25">
      <c r="A8" s="242" t="s">
        <v>229</v>
      </c>
      <c r="B8" s="242" t="s">
        <v>350</v>
      </c>
      <c r="C8" s="254" t="s">
        <v>230</v>
      </c>
      <c r="D8" s="242" t="s">
        <v>231</v>
      </c>
      <c r="E8" s="242" t="s">
        <v>348</v>
      </c>
      <c r="F8" s="242" t="s">
        <v>349</v>
      </c>
      <c r="G8" s="177"/>
      <c r="H8" s="177"/>
      <c r="I8" s="177"/>
      <c r="J8" s="177"/>
    </row>
    <row r="9" spans="1:10" ht="26.25" thickTop="1" x14ac:dyDescent="0.2">
      <c r="A9" s="255">
        <v>1</v>
      </c>
      <c r="B9" s="209" t="s">
        <v>262</v>
      </c>
      <c r="C9" s="210">
        <v>100</v>
      </c>
      <c r="D9" s="211" t="s">
        <v>265</v>
      </c>
      <c r="E9" s="212">
        <f>[1]Material!$O$9</f>
        <v>10.798333333333332</v>
      </c>
      <c r="F9" s="256">
        <f>+E9*C9</f>
        <v>1079.8333333333333</v>
      </c>
      <c r="G9" s="177"/>
      <c r="H9" s="177"/>
      <c r="I9" s="177"/>
      <c r="J9" s="177"/>
    </row>
    <row r="10" spans="1:10" ht="25.5" x14ac:dyDescent="0.2">
      <c r="A10" s="257">
        <v>2</v>
      </c>
      <c r="B10" s="178" t="s">
        <v>263</v>
      </c>
      <c r="C10" s="204">
        <v>5</v>
      </c>
      <c r="D10" s="181" t="s">
        <v>269</v>
      </c>
      <c r="E10" s="212">
        <f>[1]Material!$O$10</f>
        <v>80.432000000000002</v>
      </c>
      <c r="F10" s="258">
        <f t="shared" ref="F10:F46" si="0">+E10*C10</f>
        <v>402.16</v>
      </c>
      <c r="G10" s="177"/>
      <c r="H10" s="177"/>
      <c r="I10" s="177"/>
      <c r="J10" s="177"/>
    </row>
    <row r="11" spans="1:10" ht="25.5" x14ac:dyDescent="0.2">
      <c r="A11" s="257">
        <v>3</v>
      </c>
      <c r="B11" s="178" t="s">
        <v>266</v>
      </c>
      <c r="C11" s="204">
        <v>12</v>
      </c>
      <c r="D11" s="181" t="s">
        <v>232</v>
      </c>
      <c r="E11" s="212">
        <f>[1]Material!$O$11</f>
        <v>82.679999999999993</v>
      </c>
      <c r="F11" s="258">
        <f t="shared" si="0"/>
        <v>992.15999999999985</v>
      </c>
      <c r="G11" s="177"/>
      <c r="H11" s="177"/>
      <c r="I11" s="177"/>
      <c r="J11" s="177"/>
    </row>
    <row r="12" spans="1:10" ht="15" customHeight="1" x14ac:dyDescent="0.2">
      <c r="A12" s="257">
        <v>4</v>
      </c>
      <c r="B12" s="178" t="s">
        <v>267</v>
      </c>
      <c r="C12" s="204">
        <v>12</v>
      </c>
      <c r="D12" s="181" t="s">
        <v>265</v>
      </c>
      <c r="E12" s="212">
        <f>[1]Material!$O$12</f>
        <v>34.788333333333334</v>
      </c>
      <c r="F12" s="258">
        <f t="shared" si="0"/>
        <v>417.46000000000004</v>
      </c>
      <c r="G12" s="177"/>
      <c r="H12" s="177"/>
      <c r="I12" s="177"/>
      <c r="J12" s="177"/>
    </row>
    <row r="13" spans="1:10" ht="15" customHeight="1" x14ac:dyDescent="0.2">
      <c r="A13" s="257">
        <v>5</v>
      </c>
      <c r="B13" s="178" t="s">
        <v>268</v>
      </c>
      <c r="C13" s="204">
        <v>4</v>
      </c>
      <c r="D13" s="181" t="s">
        <v>269</v>
      </c>
      <c r="E13" s="212">
        <f>[1]Material!$O$13</f>
        <v>44.411833333333334</v>
      </c>
      <c r="F13" s="258">
        <f t="shared" si="0"/>
        <v>177.64733333333334</v>
      </c>
      <c r="G13" s="177"/>
      <c r="H13" s="177"/>
      <c r="I13" s="177"/>
      <c r="J13" s="177"/>
    </row>
    <row r="14" spans="1:10" ht="15" customHeight="1" x14ac:dyDescent="0.2">
      <c r="A14" s="257">
        <v>6</v>
      </c>
      <c r="B14" s="178" t="s">
        <v>270</v>
      </c>
      <c r="C14" s="204">
        <v>6</v>
      </c>
      <c r="D14" s="181" t="s">
        <v>234</v>
      </c>
      <c r="E14" s="212">
        <f>[1]Material!$O$14</f>
        <v>5.5073999999999996</v>
      </c>
      <c r="F14" s="258">
        <f t="shared" si="0"/>
        <v>33.044399999999996</v>
      </c>
      <c r="G14" s="177"/>
      <c r="H14" s="177"/>
      <c r="I14" s="177"/>
      <c r="J14" s="177"/>
    </row>
    <row r="15" spans="1:10" ht="15" customHeight="1" x14ac:dyDescent="0.2">
      <c r="A15" s="257">
        <v>7</v>
      </c>
      <c r="B15" s="178" t="s">
        <v>271</v>
      </c>
      <c r="C15" s="204">
        <v>29</v>
      </c>
      <c r="D15" s="181" t="s">
        <v>233</v>
      </c>
      <c r="E15" s="212">
        <f>[1]Material!$O$15</f>
        <v>3.3193000000000006</v>
      </c>
      <c r="F15" s="258">
        <f t="shared" si="0"/>
        <v>96.259700000000024</v>
      </c>
      <c r="G15" s="177"/>
      <c r="H15" s="177"/>
      <c r="I15" s="177"/>
      <c r="J15" s="177"/>
    </row>
    <row r="16" spans="1:10" ht="15" customHeight="1" x14ac:dyDescent="0.2">
      <c r="A16" s="257">
        <v>8</v>
      </c>
      <c r="B16" s="178" t="s">
        <v>272</v>
      </c>
      <c r="C16" s="204">
        <v>2</v>
      </c>
      <c r="D16" s="181" t="s">
        <v>269</v>
      </c>
      <c r="E16" s="212">
        <f>[1]Material!$O$16</f>
        <v>169.20000000000002</v>
      </c>
      <c r="F16" s="258">
        <f t="shared" si="0"/>
        <v>338.40000000000003</v>
      </c>
      <c r="G16" s="177"/>
      <c r="H16" s="177"/>
      <c r="I16" s="177"/>
      <c r="J16" s="177"/>
    </row>
    <row r="17" spans="1:10" ht="15" customHeight="1" x14ac:dyDescent="0.2">
      <c r="A17" s="257">
        <v>9</v>
      </c>
      <c r="B17" s="178" t="s">
        <v>273</v>
      </c>
      <c r="C17" s="204">
        <v>4</v>
      </c>
      <c r="D17" s="181" t="s">
        <v>274</v>
      </c>
      <c r="E17" s="212">
        <f>[1]Material!$O$17</f>
        <v>46.575000000000003</v>
      </c>
      <c r="F17" s="258">
        <f t="shared" si="0"/>
        <v>186.3</v>
      </c>
      <c r="G17" s="177"/>
      <c r="H17" s="177"/>
      <c r="I17" s="177"/>
      <c r="J17" s="177"/>
    </row>
    <row r="18" spans="1:10" ht="15" customHeight="1" x14ac:dyDescent="0.2">
      <c r="A18" s="257">
        <v>10</v>
      </c>
      <c r="B18" s="178" t="s">
        <v>275</v>
      </c>
      <c r="C18" s="204">
        <v>20</v>
      </c>
      <c r="D18" s="181" t="s">
        <v>276</v>
      </c>
      <c r="E18" s="212">
        <f>[1]Material!$O$18</f>
        <v>5.4303749999999997</v>
      </c>
      <c r="F18" s="258">
        <f t="shared" si="0"/>
        <v>108.60749999999999</v>
      </c>
      <c r="G18" s="177"/>
      <c r="H18" s="177"/>
      <c r="I18" s="177"/>
      <c r="J18" s="177"/>
    </row>
    <row r="19" spans="1:10" ht="15" customHeight="1" x14ac:dyDescent="0.2">
      <c r="A19" s="257">
        <v>11</v>
      </c>
      <c r="B19" s="178" t="s">
        <v>277</v>
      </c>
      <c r="C19" s="205">
        <v>10</v>
      </c>
      <c r="D19" s="181" t="s">
        <v>276</v>
      </c>
      <c r="E19" s="212">
        <f>[1]Material!$O$19</f>
        <v>16.446249999999999</v>
      </c>
      <c r="F19" s="258">
        <f t="shared" si="0"/>
        <v>164.46249999999998</v>
      </c>
      <c r="G19" s="177"/>
      <c r="H19" s="177"/>
      <c r="I19" s="177"/>
      <c r="J19" s="177"/>
    </row>
    <row r="20" spans="1:10" ht="15" customHeight="1" x14ac:dyDescent="0.2">
      <c r="A20" s="257">
        <v>12</v>
      </c>
      <c r="B20" s="178" t="s">
        <v>278</v>
      </c>
      <c r="C20" s="205">
        <v>25</v>
      </c>
      <c r="D20" s="181" t="s">
        <v>233</v>
      </c>
      <c r="E20" s="212">
        <f>[1]Material!$O$20</f>
        <v>9.3512500000000003</v>
      </c>
      <c r="F20" s="258">
        <f t="shared" si="0"/>
        <v>233.78125</v>
      </c>
      <c r="G20" s="177"/>
      <c r="H20" s="177"/>
      <c r="I20" s="177"/>
      <c r="J20" s="177"/>
    </row>
    <row r="21" spans="1:10" ht="15" customHeight="1" x14ac:dyDescent="0.2">
      <c r="A21" s="257">
        <v>13</v>
      </c>
      <c r="B21" s="178" t="s">
        <v>279</v>
      </c>
      <c r="C21" s="204">
        <v>4</v>
      </c>
      <c r="D21" s="181" t="s">
        <v>269</v>
      </c>
      <c r="E21" s="212">
        <f>[1]Material!$O$21</f>
        <v>58.875</v>
      </c>
      <c r="F21" s="258">
        <f t="shared" si="0"/>
        <v>235.5</v>
      </c>
      <c r="G21" s="177"/>
      <c r="H21" s="177"/>
      <c r="I21" s="177"/>
      <c r="J21" s="177"/>
    </row>
    <row r="22" spans="1:10" ht="15" customHeight="1" x14ac:dyDescent="0.2">
      <c r="A22" s="257">
        <v>14</v>
      </c>
      <c r="B22" s="178" t="s">
        <v>280</v>
      </c>
      <c r="C22" s="204">
        <v>10</v>
      </c>
      <c r="D22" s="181" t="s">
        <v>265</v>
      </c>
      <c r="E22" s="212">
        <f>[1]Material!$O$22</f>
        <v>66.085999999999999</v>
      </c>
      <c r="F22" s="258">
        <f t="shared" si="0"/>
        <v>660.86</v>
      </c>
      <c r="G22" s="177"/>
      <c r="H22" s="177"/>
      <c r="I22" s="177"/>
      <c r="J22" s="177"/>
    </row>
    <row r="23" spans="1:10" ht="15" customHeight="1" x14ac:dyDescent="0.2">
      <c r="A23" s="257">
        <v>15</v>
      </c>
      <c r="B23" s="178" t="s">
        <v>281</v>
      </c>
      <c r="C23" s="204">
        <v>3</v>
      </c>
      <c r="D23" s="181" t="s">
        <v>269</v>
      </c>
      <c r="E23" s="212">
        <f>[1]Material!$O$23</f>
        <v>103.89999999999999</v>
      </c>
      <c r="F23" s="258">
        <f t="shared" si="0"/>
        <v>311.7</v>
      </c>
      <c r="G23" s="177"/>
      <c r="H23" s="177"/>
      <c r="I23" s="177"/>
      <c r="J23" s="177"/>
    </row>
    <row r="24" spans="1:10" ht="15" customHeight="1" x14ac:dyDescent="0.2">
      <c r="A24" s="257">
        <v>16</v>
      </c>
      <c r="B24" s="178" t="s">
        <v>282</v>
      </c>
      <c r="C24" s="205">
        <v>20</v>
      </c>
      <c r="D24" s="181" t="s">
        <v>233</v>
      </c>
      <c r="E24" s="212">
        <f>[1]Material!$O$24</f>
        <v>11.151666666666666</v>
      </c>
      <c r="F24" s="258">
        <f t="shared" si="0"/>
        <v>223.0333333333333</v>
      </c>
      <c r="G24" s="177"/>
      <c r="H24" s="177"/>
      <c r="I24" s="177"/>
      <c r="J24" s="177"/>
    </row>
    <row r="25" spans="1:10" ht="15" customHeight="1" x14ac:dyDescent="0.2">
      <c r="A25" s="257">
        <v>17</v>
      </c>
      <c r="B25" s="178" t="s">
        <v>283</v>
      </c>
      <c r="C25" s="205">
        <v>2</v>
      </c>
      <c r="D25" s="181" t="s">
        <v>295</v>
      </c>
      <c r="E25" s="212">
        <f>[1]Material!$O$25</f>
        <v>23.456250000000001</v>
      </c>
      <c r="F25" s="258">
        <f t="shared" si="0"/>
        <v>46.912500000000001</v>
      </c>
      <c r="G25" s="177"/>
      <c r="H25" s="177"/>
      <c r="I25" s="177"/>
      <c r="J25" s="177"/>
    </row>
    <row r="26" spans="1:10" ht="38.25" x14ac:dyDescent="0.2">
      <c r="A26" s="257">
        <v>18</v>
      </c>
      <c r="B26" s="178" t="s">
        <v>284</v>
      </c>
      <c r="C26" s="205">
        <v>20</v>
      </c>
      <c r="D26" s="181" t="s">
        <v>274</v>
      </c>
      <c r="E26" s="212">
        <f>[1]Material!$O$26</f>
        <v>80.122500000000002</v>
      </c>
      <c r="F26" s="258">
        <f t="shared" si="0"/>
        <v>1602.45</v>
      </c>
      <c r="G26" s="177"/>
      <c r="H26" s="177"/>
      <c r="I26" s="177"/>
      <c r="J26" s="177"/>
    </row>
    <row r="27" spans="1:10" ht="38.25" x14ac:dyDescent="0.2">
      <c r="A27" s="257">
        <v>19</v>
      </c>
      <c r="B27" s="265" t="s">
        <v>285</v>
      </c>
      <c r="C27" s="204">
        <v>10</v>
      </c>
      <c r="D27" s="181" t="s">
        <v>274</v>
      </c>
      <c r="E27" s="212">
        <f>[1]Material!$O$27</f>
        <v>111.375</v>
      </c>
      <c r="F27" s="258">
        <f t="shared" si="0"/>
        <v>1113.75</v>
      </c>
      <c r="G27" s="177"/>
      <c r="H27" s="177"/>
      <c r="I27" s="177"/>
      <c r="J27" s="177"/>
    </row>
    <row r="28" spans="1:10" ht="25.5" x14ac:dyDescent="0.2">
      <c r="A28" s="257">
        <v>20</v>
      </c>
      <c r="B28" s="178" t="s">
        <v>286</v>
      </c>
      <c r="C28" s="204">
        <v>15</v>
      </c>
      <c r="D28" s="181" t="s">
        <v>274</v>
      </c>
      <c r="E28" s="212">
        <f>[1]Material!$O$28</f>
        <v>47.892500000000005</v>
      </c>
      <c r="F28" s="258">
        <f t="shared" si="0"/>
        <v>718.38750000000005</v>
      </c>
      <c r="G28" s="177"/>
      <c r="H28" s="177"/>
      <c r="I28" s="177"/>
      <c r="J28" s="177"/>
    </row>
    <row r="29" spans="1:10" ht="25.5" x14ac:dyDescent="0.2">
      <c r="A29" s="257">
        <v>21</v>
      </c>
      <c r="B29" s="178" t="s">
        <v>287</v>
      </c>
      <c r="C29" s="204">
        <v>4</v>
      </c>
      <c r="D29" s="181" t="s">
        <v>274</v>
      </c>
      <c r="E29" s="212">
        <f>[1]Material!$O$29</f>
        <v>151.70400000000001</v>
      </c>
      <c r="F29" s="258">
        <f t="shared" si="0"/>
        <v>606.81600000000003</v>
      </c>
      <c r="G29" s="177"/>
      <c r="H29" s="177"/>
      <c r="I29" s="177"/>
      <c r="J29" s="177"/>
    </row>
    <row r="30" spans="1:10" ht="15" customHeight="1" x14ac:dyDescent="0.2">
      <c r="A30" s="257">
        <v>22</v>
      </c>
      <c r="B30" s="178" t="s">
        <v>288</v>
      </c>
      <c r="C30" s="204">
        <v>16</v>
      </c>
      <c r="D30" s="181" t="s">
        <v>296</v>
      </c>
      <c r="E30" s="212">
        <f>[1]Material!$O$30</f>
        <v>17.423999999999999</v>
      </c>
      <c r="F30" s="258">
        <f t="shared" si="0"/>
        <v>278.78399999999999</v>
      </c>
      <c r="G30" s="177"/>
      <c r="H30" s="177"/>
      <c r="I30" s="177"/>
      <c r="J30" s="177"/>
    </row>
    <row r="31" spans="1:10" ht="15" customHeight="1" x14ac:dyDescent="0.2">
      <c r="A31" s="257">
        <v>23</v>
      </c>
      <c r="B31" s="178" t="s">
        <v>289</v>
      </c>
      <c r="C31" s="204">
        <v>15</v>
      </c>
      <c r="D31" s="181" t="s">
        <v>296</v>
      </c>
      <c r="E31" s="212">
        <f>[1]Material!$O$31</f>
        <v>13.196</v>
      </c>
      <c r="F31" s="258">
        <f t="shared" si="0"/>
        <v>197.94</v>
      </c>
      <c r="G31" s="177"/>
      <c r="H31" s="177"/>
      <c r="I31" s="177"/>
      <c r="J31" s="177"/>
    </row>
    <row r="32" spans="1:10" ht="15" customHeight="1" x14ac:dyDescent="0.2">
      <c r="A32" s="257">
        <v>24</v>
      </c>
      <c r="B32" s="178" t="s">
        <v>290</v>
      </c>
      <c r="C32" s="204">
        <v>2</v>
      </c>
      <c r="D32" s="181" t="s">
        <v>264</v>
      </c>
      <c r="E32" s="212">
        <f>[1]Material!$O$32</f>
        <v>112.91983333333333</v>
      </c>
      <c r="F32" s="258">
        <f t="shared" si="0"/>
        <v>225.83966666666666</v>
      </c>
      <c r="G32" s="177"/>
      <c r="H32" s="177"/>
      <c r="I32" s="177"/>
      <c r="J32" s="177"/>
    </row>
    <row r="33" spans="1:12" ht="25.5" x14ac:dyDescent="0.2">
      <c r="A33" s="257">
        <v>25</v>
      </c>
      <c r="B33" s="265" t="s">
        <v>291</v>
      </c>
      <c r="C33" s="204">
        <v>40</v>
      </c>
      <c r="D33" s="181" t="s">
        <v>297</v>
      </c>
      <c r="E33" s="212">
        <f>[1]Material!$O$33</f>
        <v>25.385400000000001</v>
      </c>
      <c r="F33" s="258">
        <f t="shared" si="0"/>
        <v>1015.4160000000001</v>
      </c>
      <c r="G33" s="177"/>
      <c r="H33" s="177"/>
      <c r="I33" s="177"/>
      <c r="J33" s="177"/>
    </row>
    <row r="34" spans="1:12" ht="15" customHeight="1" x14ac:dyDescent="0.2">
      <c r="A34" s="257">
        <v>27</v>
      </c>
      <c r="B34" s="178" t="s">
        <v>292</v>
      </c>
      <c r="C34" s="204">
        <v>15</v>
      </c>
      <c r="D34" s="181" t="s">
        <v>298</v>
      </c>
      <c r="E34" s="212">
        <f>[1]Material!$O$34</f>
        <v>17.193750000000001</v>
      </c>
      <c r="F34" s="258">
        <f t="shared" si="0"/>
        <v>257.90625</v>
      </c>
      <c r="G34" s="177"/>
      <c r="H34" s="177"/>
      <c r="I34" s="177"/>
      <c r="J34" s="177"/>
    </row>
    <row r="35" spans="1:12" ht="15" customHeight="1" x14ac:dyDescent="0.2">
      <c r="A35" s="257">
        <v>28</v>
      </c>
      <c r="B35" s="178" t="s">
        <v>293</v>
      </c>
      <c r="C35" s="204">
        <v>3</v>
      </c>
      <c r="D35" s="181" t="s">
        <v>274</v>
      </c>
      <c r="E35" s="212">
        <f>[1]Material!$O$35</f>
        <v>36.384999999999998</v>
      </c>
      <c r="F35" s="258">
        <f t="shared" si="0"/>
        <v>109.155</v>
      </c>
      <c r="G35" s="177"/>
      <c r="H35" s="177"/>
      <c r="I35" s="177"/>
      <c r="J35" s="177"/>
    </row>
    <row r="36" spans="1:12" ht="15" customHeight="1" x14ac:dyDescent="0.2">
      <c r="A36" s="257">
        <v>29</v>
      </c>
      <c r="B36" s="178" t="s">
        <v>294</v>
      </c>
      <c r="C36" s="204">
        <v>3</v>
      </c>
      <c r="D36" s="181" t="s">
        <v>274</v>
      </c>
      <c r="E36" s="212">
        <f>[1]Material!$O$36</f>
        <v>48.991666666666667</v>
      </c>
      <c r="F36" s="258">
        <f t="shared" si="0"/>
        <v>146.97499999999999</v>
      </c>
      <c r="G36" s="177"/>
      <c r="H36" s="177"/>
      <c r="I36" s="177"/>
      <c r="J36" s="177"/>
    </row>
    <row r="37" spans="1:12" ht="15" customHeight="1" x14ac:dyDescent="0.2">
      <c r="A37" s="257">
        <v>30</v>
      </c>
      <c r="B37" s="178" t="s">
        <v>299</v>
      </c>
      <c r="C37" s="204">
        <v>30</v>
      </c>
      <c r="D37" s="181" t="s">
        <v>296</v>
      </c>
      <c r="E37" s="212">
        <f>[1]Material!$O$37</f>
        <v>10.16625</v>
      </c>
      <c r="F37" s="258">
        <f t="shared" si="0"/>
        <v>304.98750000000001</v>
      </c>
      <c r="G37" s="177"/>
      <c r="H37" s="177"/>
      <c r="I37" s="177"/>
      <c r="J37" s="177"/>
    </row>
    <row r="38" spans="1:12" ht="15" customHeight="1" x14ac:dyDescent="0.2">
      <c r="A38" s="257">
        <v>31</v>
      </c>
      <c r="B38" s="178" t="s">
        <v>300</v>
      </c>
      <c r="C38" s="204">
        <v>20</v>
      </c>
      <c r="D38" s="181" t="s">
        <v>296</v>
      </c>
      <c r="E38" s="212">
        <f>[1]Material!$O$38</f>
        <v>16.839299999999998</v>
      </c>
      <c r="F38" s="258">
        <f t="shared" si="0"/>
        <v>336.78599999999994</v>
      </c>
      <c r="G38" s="177"/>
      <c r="H38" s="177"/>
      <c r="I38" s="177"/>
      <c r="J38" s="177"/>
    </row>
    <row r="39" spans="1:12" ht="15" customHeight="1" x14ac:dyDescent="0.2">
      <c r="A39" s="257">
        <v>32</v>
      </c>
      <c r="B39" s="178" t="s">
        <v>301</v>
      </c>
      <c r="C39" s="204">
        <v>10</v>
      </c>
      <c r="D39" s="181" t="s">
        <v>296</v>
      </c>
      <c r="E39" s="212">
        <f>[1]Material!$O$39</f>
        <v>18.36</v>
      </c>
      <c r="F39" s="258">
        <f t="shared" si="0"/>
        <v>183.6</v>
      </c>
      <c r="G39" s="177"/>
      <c r="H39" s="177"/>
      <c r="I39" s="177"/>
      <c r="J39" s="177"/>
    </row>
    <row r="40" spans="1:12" ht="15" customHeight="1" x14ac:dyDescent="0.2">
      <c r="A40" s="257">
        <v>33</v>
      </c>
      <c r="B40" s="178" t="s">
        <v>302</v>
      </c>
      <c r="C40" s="204">
        <v>20</v>
      </c>
      <c r="D40" s="181" t="s">
        <v>296</v>
      </c>
      <c r="E40" s="212">
        <f>[1]Material!$O$40</f>
        <v>28.602</v>
      </c>
      <c r="F40" s="258">
        <f t="shared" si="0"/>
        <v>572.04</v>
      </c>
      <c r="G40" s="177"/>
      <c r="H40" s="177"/>
      <c r="I40" s="177"/>
      <c r="J40" s="177"/>
    </row>
    <row r="41" spans="1:12" ht="15" customHeight="1" x14ac:dyDescent="0.2">
      <c r="A41" s="257">
        <v>34</v>
      </c>
      <c r="B41" s="178" t="s">
        <v>235</v>
      </c>
      <c r="C41" s="204">
        <v>20</v>
      </c>
      <c r="D41" s="181" t="s">
        <v>296</v>
      </c>
      <c r="E41" s="212">
        <f>[1]Material!$O$41</f>
        <v>17.982833333333332</v>
      </c>
      <c r="F41" s="258">
        <f t="shared" si="0"/>
        <v>359.65666666666664</v>
      </c>
      <c r="G41" s="177"/>
      <c r="H41" s="177"/>
      <c r="I41" s="177"/>
      <c r="J41" s="177"/>
    </row>
    <row r="42" spans="1:12" ht="25.5" x14ac:dyDescent="0.2">
      <c r="A42" s="257">
        <v>35</v>
      </c>
      <c r="B42" s="178" t="s">
        <v>303</v>
      </c>
      <c r="C42" s="204">
        <v>20</v>
      </c>
      <c r="D42" s="181" t="s">
        <v>296</v>
      </c>
      <c r="E42" s="212">
        <f>[1]Material!$O$42</f>
        <v>32.30533333333333</v>
      </c>
      <c r="F42" s="258">
        <f t="shared" si="0"/>
        <v>646.10666666666657</v>
      </c>
      <c r="G42" s="177"/>
      <c r="H42" s="177"/>
      <c r="I42" s="177"/>
      <c r="J42" s="177"/>
    </row>
    <row r="43" spans="1:12" ht="15" customHeight="1" x14ac:dyDescent="0.2">
      <c r="A43" s="257">
        <v>36</v>
      </c>
      <c r="B43" s="178" t="s">
        <v>304</v>
      </c>
      <c r="C43" s="204">
        <v>1</v>
      </c>
      <c r="D43" s="181" t="s">
        <v>296</v>
      </c>
      <c r="E43" s="212">
        <f>[1]Material!$O$43</f>
        <v>44.215166666666669</v>
      </c>
      <c r="F43" s="258">
        <f t="shared" si="0"/>
        <v>44.215166666666669</v>
      </c>
      <c r="G43" s="177"/>
      <c r="H43" s="177"/>
      <c r="I43" s="177"/>
      <c r="J43" s="177"/>
    </row>
    <row r="44" spans="1:12" ht="25.5" x14ac:dyDescent="0.2">
      <c r="A44" s="257">
        <v>37</v>
      </c>
      <c r="B44" s="178" t="s">
        <v>305</v>
      </c>
      <c r="C44" s="204">
        <v>10</v>
      </c>
      <c r="D44" s="181" t="s">
        <v>296</v>
      </c>
      <c r="E44" s="212">
        <f>[1]Material!$O$44</f>
        <v>48.366250000000001</v>
      </c>
      <c r="F44" s="258">
        <f t="shared" si="0"/>
        <v>483.66250000000002</v>
      </c>
      <c r="G44" s="177"/>
      <c r="H44" s="177"/>
      <c r="I44" s="177"/>
      <c r="J44" s="177"/>
    </row>
    <row r="45" spans="1:12" ht="15" customHeight="1" x14ac:dyDescent="0.2">
      <c r="A45" s="257">
        <v>38</v>
      </c>
      <c r="B45" s="178" t="s">
        <v>306</v>
      </c>
      <c r="C45" s="204">
        <v>2</v>
      </c>
      <c r="D45" s="181" t="s">
        <v>296</v>
      </c>
      <c r="E45" s="212">
        <f>[1]Material!$O$45</f>
        <v>27.14833333333333</v>
      </c>
      <c r="F45" s="258">
        <f t="shared" si="0"/>
        <v>54.29666666666666</v>
      </c>
      <c r="G45" s="177"/>
      <c r="H45" s="177"/>
      <c r="I45" s="177"/>
      <c r="J45" s="177"/>
    </row>
    <row r="46" spans="1:12" ht="15" customHeight="1" thickBot="1" x14ac:dyDescent="0.25">
      <c r="A46" s="259">
        <v>39</v>
      </c>
      <c r="B46" s="260" t="s">
        <v>307</v>
      </c>
      <c r="C46" s="261">
        <v>15</v>
      </c>
      <c r="D46" s="262" t="s">
        <v>296</v>
      </c>
      <c r="E46" s="263">
        <f>[1]Material!$O$46</f>
        <v>38.152500000000003</v>
      </c>
      <c r="F46" s="264">
        <f t="shared" si="0"/>
        <v>572.28750000000002</v>
      </c>
      <c r="G46" s="177"/>
      <c r="H46" s="177"/>
      <c r="I46" s="177"/>
      <c r="J46" s="177"/>
    </row>
    <row r="47" spans="1:12" ht="17.25" thickTop="1" thickBot="1" x14ac:dyDescent="0.3">
      <c r="A47" s="380" t="s">
        <v>244</v>
      </c>
      <c r="B47" s="380"/>
      <c r="C47" s="380"/>
      <c r="D47" s="380"/>
      <c r="E47" s="380"/>
      <c r="F47" s="253">
        <f>SUM(F9:F46)</f>
        <v>15539.179933333337</v>
      </c>
      <c r="G47" s="177"/>
      <c r="H47" s="177"/>
      <c r="I47" s="177"/>
      <c r="J47" s="177"/>
    </row>
    <row r="48" spans="1:12" ht="13.5" thickTop="1" x14ac:dyDescent="0.2">
      <c r="L48" s="203"/>
    </row>
    <row r="49" spans="1:6" x14ac:dyDescent="0.2">
      <c r="A49" s="384" t="s">
        <v>308</v>
      </c>
      <c r="B49" s="384"/>
      <c r="C49" s="384"/>
      <c r="D49" s="384"/>
      <c r="E49" s="384"/>
      <c r="F49" s="208">
        <f>SUM(RESUMO!F8:F9)</f>
        <v>32</v>
      </c>
    </row>
    <row r="50" spans="1:6" x14ac:dyDescent="0.2">
      <c r="A50" s="384" t="s">
        <v>249</v>
      </c>
      <c r="B50" s="384"/>
      <c r="C50" s="384"/>
      <c r="D50" s="384"/>
      <c r="E50" s="384"/>
      <c r="F50" s="203">
        <f>+F47/F49</f>
        <v>485.59937291666677</v>
      </c>
    </row>
    <row r="51" spans="1:6" ht="13.5" thickBot="1" x14ac:dyDescent="0.25">
      <c r="A51" s="180"/>
      <c r="B51" s="180"/>
      <c r="C51" s="180"/>
      <c r="D51" s="180"/>
    </row>
    <row r="52" spans="1:6" ht="19.5" thickTop="1" thickBot="1" x14ac:dyDescent="0.25">
      <c r="A52" s="379" t="s">
        <v>237</v>
      </c>
      <c r="B52" s="379"/>
      <c r="C52" s="379"/>
      <c r="D52" s="379"/>
      <c r="E52" s="379"/>
      <c r="F52" s="248">
        <f>+F50</f>
        <v>485.59937291666677</v>
      </c>
    </row>
    <row r="53" spans="1:6" ht="13.5" thickTop="1" x14ac:dyDescent="0.2"/>
  </sheetData>
  <mergeCells count="6">
    <mergeCell ref="A5:F5"/>
    <mergeCell ref="A52:E52"/>
    <mergeCell ref="A47:E47"/>
    <mergeCell ref="A7:F7"/>
    <mergeCell ref="A49:E49"/>
    <mergeCell ref="A50:E50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Footer>&amp;LRua Arlindo Porto Leal, 241 – Centro – CEP 69909-040 – Rio Branco – AC
Telefone: (68) 3213-4000</oddFooter>
  </headerFooter>
  <ignoredErrors>
    <ignoredError sqref="F49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6" workbookViewId="0">
      <selection activeCell="F38" sqref="F38"/>
    </sheetView>
  </sheetViews>
  <sheetFormatPr defaultRowHeight="12.75" x14ac:dyDescent="0.2"/>
  <cols>
    <col min="1" max="1" width="7.7109375" style="179" customWidth="1"/>
    <col min="2" max="2" width="53.7109375" style="177" customWidth="1"/>
    <col min="3" max="3" width="10.7109375" style="179" customWidth="1"/>
    <col min="4" max="4" width="14.7109375" style="179" customWidth="1"/>
    <col min="5" max="5" width="14.7109375" style="177" customWidth="1"/>
    <col min="6" max="6" width="18.7109375" style="177" customWidth="1"/>
    <col min="7" max="8" width="9.140625" style="177"/>
    <col min="9" max="9" width="10.28515625" style="177" bestFit="1" customWidth="1"/>
    <col min="10" max="14" width="9.140625" style="177"/>
    <col min="15" max="15" width="10.28515625" style="177" bestFit="1" customWidth="1"/>
    <col min="16" max="16384" width="9.140625" style="177"/>
  </cols>
  <sheetData>
    <row r="1" spans="1:16" x14ac:dyDescent="0.2">
      <c r="A1"/>
      <c r="B1"/>
      <c r="C1"/>
      <c r="D1" s="172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 s="17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/>
      <c r="B3"/>
      <c r="C3"/>
      <c r="D3" s="172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/>
      <c r="B4"/>
      <c r="C4"/>
      <c r="D4" s="172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378" t="s">
        <v>347</v>
      </c>
      <c r="B5" s="378"/>
      <c r="C5" s="378"/>
      <c r="D5" s="378"/>
      <c r="E5" s="378"/>
      <c r="F5" s="378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16" ht="13.5" thickBot="1" x14ac:dyDescent="0.25"/>
    <row r="7" spans="1:16" ht="31.5" thickTop="1" thickBot="1" x14ac:dyDescent="0.25">
      <c r="A7" s="387" t="s">
        <v>247</v>
      </c>
      <c r="B7" s="388"/>
      <c r="C7" s="388"/>
      <c r="D7" s="388"/>
      <c r="E7" s="388"/>
      <c r="F7" s="389"/>
      <c r="I7" s="186"/>
    </row>
    <row r="8" spans="1:16" ht="39.75" thickTop="1" thickBot="1" x14ac:dyDescent="0.25">
      <c r="A8" s="242" t="s">
        <v>229</v>
      </c>
      <c r="B8" s="242" t="s">
        <v>350</v>
      </c>
      <c r="C8" s="242" t="s">
        <v>231</v>
      </c>
      <c r="D8" s="242" t="s">
        <v>236</v>
      </c>
      <c r="E8" s="242" t="s">
        <v>348</v>
      </c>
      <c r="F8" s="242" t="s">
        <v>349</v>
      </c>
      <c r="I8" s="186"/>
    </row>
    <row r="9" spans="1:16" ht="30.75" thickTop="1" x14ac:dyDescent="0.2">
      <c r="A9" s="245">
        <v>1</v>
      </c>
      <c r="B9" s="240" t="s">
        <v>316</v>
      </c>
      <c r="C9" s="241" t="s">
        <v>233</v>
      </c>
      <c r="D9" s="241">
        <v>20</v>
      </c>
      <c r="E9" s="249">
        <f>[1]Equipamento!$O$8</f>
        <v>52.196666666666665</v>
      </c>
      <c r="F9" s="250">
        <f>E9*D9</f>
        <v>1043.9333333333334</v>
      </c>
    </row>
    <row r="10" spans="1:16" ht="30" x14ac:dyDescent="0.2">
      <c r="A10" s="246">
        <v>2</v>
      </c>
      <c r="B10" s="238" t="s">
        <v>317</v>
      </c>
      <c r="C10" s="239" t="s">
        <v>233</v>
      </c>
      <c r="D10" s="239">
        <v>20</v>
      </c>
      <c r="E10" s="249">
        <f>[1]Equipamento!$O$9</f>
        <v>48.143333333333338</v>
      </c>
      <c r="F10" s="251">
        <f>D10*E10</f>
        <v>962.86666666666679</v>
      </c>
      <c r="I10" s="186"/>
    </row>
    <row r="11" spans="1:16" ht="30" x14ac:dyDescent="0.2">
      <c r="A11" s="246">
        <v>3</v>
      </c>
      <c r="B11" s="238" t="s">
        <v>318</v>
      </c>
      <c r="C11" s="239" t="s">
        <v>233</v>
      </c>
      <c r="D11" s="239">
        <v>20</v>
      </c>
      <c r="E11" s="249">
        <f>[1]Equipamento!$O$10</f>
        <v>52.199999999999996</v>
      </c>
      <c r="F11" s="250">
        <f t="shared" ref="F11:F23" si="0">E11*D11</f>
        <v>1044</v>
      </c>
    </row>
    <row r="12" spans="1:16" ht="45" x14ac:dyDescent="0.2">
      <c r="A12" s="246">
        <v>4</v>
      </c>
      <c r="B12" s="238" t="s">
        <v>319</v>
      </c>
      <c r="C12" s="239" t="s">
        <v>233</v>
      </c>
      <c r="D12" s="239">
        <v>4</v>
      </c>
      <c r="E12" s="249">
        <f>[1]Equipamento!$O$11</f>
        <v>343.55666666666667</v>
      </c>
      <c r="F12" s="250">
        <f t="shared" si="0"/>
        <v>1374.2266666666667</v>
      </c>
    </row>
    <row r="13" spans="1:16" ht="45" x14ac:dyDescent="0.2">
      <c r="A13" s="246">
        <v>5</v>
      </c>
      <c r="B13" s="238" t="s">
        <v>320</v>
      </c>
      <c r="C13" s="239" t="s">
        <v>233</v>
      </c>
      <c r="D13" s="239">
        <v>6</v>
      </c>
      <c r="E13" s="249">
        <f>[1]Equipamento!$O$12</f>
        <v>191.93333333333331</v>
      </c>
      <c r="F13" s="250">
        <f t="shared" si="0"/>
        <v>1151.5999999999999</v>
      </c>
    </row>
    <row r="14" spans="1:16" ht="45" x14ac:dyDescent="0.2">
      <c r="A14" s="246">
        <v>6</v>
      </c>
      <c r="B14" s="238" t="s">
        <v>321</v>
      </c>
      <c r="C14" s="239" t="s">
        <v>233</v>
      </c>
      <c r="D14" s="239">
        <v>10</v>
      </c>
      <c r="E14" s="249">
        <f>[1]Equipamento!$O$13</f>
        <v>30.433333333333337</v>
      </c>
      <c r="F14" s="250">
        <f t="shared" si="0"/>
        <v>304.33333333333337</v>
      </c>
    </row>
    <row r="15" spans="1:16" ht="45" x14ac:dyDescent="0.2">
      <c r="A15" s="246">
        <v>7</v>
      </c>
      <c r="B15" s="238" t="s">
        <v>322</v>
      </c>
      <c r="C15" s="239" t="s">
        <v>233</v>
      </c>
      <c r="D15" s="239">
        <v>10</v>
      </c>
      <c r="E15" s="249">
        <f>[1]Equipamento!$O$14</f>
        <v>38.835000000000001</v>
      </c>
      <c r="F15" s="250">
        <f t="shared" si="0"/>
        <v>388.35</v>
      </c>
    </row>
    <row r="16" spans="1:16" ht="20.100000000000001" customHeight="1" x14ac:dyDescent="0.2">
      <c r="A16" s="246">
        <v>8</v>
      </c>
      <c r="B16" s="238" t="s">
        <v>323</v>
      </c>
      <c r="C16" s="239" t="s">
        <v>233</v>
      </c>
      <c r="D16" s="239">
        <v>4</v>
      </c>
      <c r="E16" s="249">
        <f>[1]Equipamento!$O$15</f>
        <v>31.166666666666668</v>
      </c>
      <c r="F16" s="250">
        <f t="shared" si="0"/>
        <v>124.66666666666667</v>
      </c>
    </row>
    <row r="17" spans="1:10" ht="30" x14ac:dyDescent="0.2">
      <c r="A17" s="246">
        <v>9</v>
      </c>
      <c r="B17" s="238" t="s">
        <v>324</v>
      </c>
      <c r="C17" s="239" t="s">
        <v>233</v>
      </c>
      <c r="D17" s="239">
        <v>1</v>
      </c>
      <c r="E17" s="249">
        <f>[1]Equipamento!$O$16</f>
        <v>291.17250000000001</v>
      </c>
      <c r="F17" s="250">
        <f t="shared" si="0"/>
        <v>291.17250000000001</v>
      </c>
    </row>
    <row r="18" spans="1:10" ht="30" x14ac:dyDescent="0.2">
      <c r="A18" s="246">
        <v>10</v>
      </c>
      <c r="B18" s="238" t="s">
        <v>325</v>
      </c>
      <c r="C18" s="239" t="s">
        <v>233</v>
      </c>
      <c r="D18" s="239">
        <v>1</v>
      </c>
      <c r="E18" s="249">
        <f>[1]Equipamento!$O$17</f>
        <v>1281.8666666666666</v>
      </c>
      <c r="F18" s="250">
        <f t="shared" si="0"/>
        <v>1281.8666666666666</v>
      </c>
    </row>
    <row r="19" spans="1:10" ht="20.100000000000001" customHeight="1" x14ac:dyDescent="0.2">
      <c r="A19" s="246">
        <v>11</v>
      </c>
      <c r="B19" s="238" t="s">
        <v>326</v>
      </c>
      <c r="C19" s="239" t="s">
        <v>233</v>
      </c>
      <c r="D19" s="239">
        <v>1</v>
      </c>
      <c r="E19" s="249">
        <f>[1]Equipamento!$O$18</f>
        <v>526.64333333333332</v>
      </c>
      <c r="F19" s="250">
        <f t="shared" si="0"/>
        <v>526.64333333333332</v>
      </c>
    </row>
    <row r="20" spans="1:10" ht="20.100000000000001" customHeight="1" x14ac:dyDescent="0.2">
      <c r="A20" s="246">
        <v>12</v>
      </c>
      <c r="B20" s="238" t="s">
        <v>327</v>
      </c>
      <c r="C20" s="239" t="s">
        <v>233</v>
      </c>
      <c r="D20" s="239">
        <v>1</v>
      </c>
      <c r="E20" s="249">
        <f>[1]Equipamento!$O$19</f>
        <v>769.45</v>
      </c>
      <c r="F20" s="250">
        <f t="shared" si="0"/>
        <v>769.45</v>
      </c>
    </row>
    <row r="21" spans="1:10" ht="20.100000000000001" customHeight="1" x14ac:dyDescent="0.2">
      <c r="A21" s="246">
        <v>13</v>
      </c>
      <c r="B21" s="238" t="s">
        <v>328</v>
      </c>
      <c r="C21" s="239" t="s">
        <v>233</v>
      </c>
      <c r="D21" s="239">
        <v>1</v>
      </c>
      <c r="E21" s="249">
        <f>[1]Equipamento!$O$20</f>
        <v>7099.9425000000001</v>
      </c>
      <c r="F21" s="250">
        <f t="shared" si="0"/>
        <v>7099.9425000000001</v>
      </c>
    </row>
    <row r="22" spans="1:10" ht="20.100000000000001" customHeight="1" x14ac:dyDescent="0.2">
      <c r="A22" s="246">
        <v>14</v>
      </c>
      <c r="B22" s="238" t="s">
        <v>329</v>
      </c>
      <c r="C22" s="239" t="s">
        <v>233</v>
      </c>
      <c r="D22" s="239">
        <v>5</v>
      </c>
      <c r="E22" s="249">
        <f>[1]Equipamento!$O$21</f>
        <v>33.32</v>
      </c>
      <c r="F22" s="250">
        <f t="shared" si="0"/>
        <v>166.6</v>
      </c>
    </row>
    <row r="23" spans="1:10" ht="20.100000000000001" customHeight="1" thickBot="1" x14ac:dyDescent="0.25">
      <c r="A23" s="247">
        <v>15</v>
      </c>
      <c r="B23" s="243" t="s">
        <v>330</v>
      </c>
      <c r="C23" s="244" t="s">
        <v>233</v>
      </c>
      <c r="D23" s="244">
        <v>1</v>
      </c>
      <c r="E23" s="249">
        <f>[1]Equipamento!$O$22</f>
        <v>446.19000000000005</v>
      </c>
      <c r="F23" s="250">
        <f t="shared" si="0"/>
        <v>446.19000000000005</v>
      </c>
    </row>
    <row r="24" spans="1:10" ht="20.100000000000001" customHeight="1" thickTop="1" thickBot="1" x14ac:dyDescent="0.25">
      <c r="A24" s="390" t="s">
        <v>244</v>
      </c>
      <c r="B24" s="390"/>
      <c r="C24" s="390"/>
      <c r="D24" s="390"/>
      <c r="E24" s="398">
        <f>SUM(F9:F23)</f>
        <v>16975.841666666664</v>
      </c>
      <c r="F24" s="398"/>
      <c r="G24" s="207"/>
      <c r="H24" s="207"/>
      <c r="I24" s="207"/>
      <c r="J24" s="207"/>
    </row>
    <row r="25" spans="1:10" ht="13.5" thickTop="1" x14ac:dyDescent="0.2"/>
    <row r="26" spans="1:10" ht="15.75" x14ac:dyDescent="0.25">
      <c r="A26" s="395" t="s">
        <v>240</v>
      </c>
      <c r="B26" s="396"/>
      <c r="C26" s="396"/>
      <c r="D26" s="397"/>
    </row>
    <row r="27" spans="1:10" x14ac:dyDescent="0.2">
      <c r="A27" s="392" t="s">
        <v>242</v>
      </c>
      <c r="B27" s="393"/>
      <c r="C27" s="393"/>
      <c r="D27" s="394"/>
    </row>
    <row r="28" spans="1:10" x14ac:dyDescent="0.2">
      <c r="B28" s="179"/>
      <c r="C28" s="177"/>
      <c r="D28" s="177"/>
    </row>
    <row r="29" spans="1:10" ht="15" customHeight="1" x14ac:dyDescent="0.2">
      <c r="B29" s="384" t="s">
        <v>239</v>
      </c>
      <c r="C29" s="384"/>
      <c r="D29" s="187">
        <v>0.1</v>
      </c>
    </row>
    <row r="30" spans="1:10" ht="15" customHeight="1" x14ac:dyDescent="0.2">
      <c r="B30" s="384" t="s">
        <v>246</v>
      </c>
      <c r="C30" s="384"/>
      <c r="D30" s="206">
        <v>0.9</v>
      </c>
    </row>
    <row r="31" spans="1:10" ht="15" customHeight="1" x14ac:dyDescent="0.2">
      <c r="B31" s="384" t="s">
        <v>241</v>
      </c>
      <c r="C31" s="384"/>
      <c r="D31" s="188">
        <v>12</v>
      </c>
    </row>
    <row r="32" spans="1:10" ht="15" customHeight="1" x14ac:dyDescent="0.2">
      <c r="B32" s="384" t="s">
        <v>243</v>
      </c>
      <c r="C32" s="384"/>
      <c r="D32" s="188">
        <v>4</v>
      </c>
    </row>
    <row r="33" spans="2:9" ht="15" customHeight="1" thickBot="1" x14ac:dyDescent="0.25">
      <c r="B33" s="391" t="s">
        <v>309</v>
      </c>
      <c r="C33" s="391"/>
      <c r="D33" s="188">
        <f>SUM(RESUMO!F8:F9)</f>
        <v>32</v>
      </c>
    </row>
    <row r="34" spans="2:9" ht="19.5" thickTop="1" thickBot="1" x14ac:dyDescent="0.25">
      <c r="B34" s="385" t="s">
        <v>238</v>
      </c>
      <c r="C34" s="386"/>
      <c r="D34" s="248">
        <f>+(E24*D30)/(D31*D32)/D33</f>
        <v>9.9467822265624992</v>
      </c>
    </row>
    <row r="35" spans="2:9" ht="13.5" thickTop="1" x14ac:dyDescent="0.2"/>
    <row r="37" spans="2:9" x14ac:dyDescent="0.2">
      <c r="I37" s="186"/>
    </row>
    <row r="38" spans="2:9" x14ac:dyDescent="0.2">
      <c r="I38" s="186"/>
    </row>
  </sheetData>
  <mergeCells count="12">
    <mergeCell ref="A5:F5"/>
    <mergeCell ref="B34:C34"/>
    <mergeCell ref="B29:C29"/>
    <mergeCell ref="B30:C30"/>
    <mergeCell ref="B31:C31"/>
    <mergeCell ref="A7:F7"/>
    <mergeCell ref="A24:D24"/>
    <mergeCell ref="B33:C33"/>
    <mergeCell ref="B32:C32"/>
    <mergeCell ref="A27:D27"/>
    <mergeCell ref="A26:D26"/>
    <mergeCell ref="E24:F2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portrait" r:id="rId1"/>
  <headerFooter>
    <oddFooter>&amp;LRua Arlindo Porto Leal, 241 – Centro – CEP 69909-040 – Rio Branco – AC
Telefone: (68) 3213-4000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RESUMO</vt:lpstr>
      <vt:lpstr>Servente de Limpeza</vt:lpstr>
      <vt:lpstr>Encarregado Geral </vt:lpstr>
      <vt:lpstr>Jardineiro</vt:lpstr>
      <vt:lpstr>Aux. de Serviços Diversos</vt:lpstr>
      <vt:lpstr>Serviço de Copeiragem</vt:lpstr>
      <vt:lpstr>Garçom</vt:lpstr>
      <vt:lpstr>Recepcionista Nível I</vt:lpstr>
      <vt:lpstr>Auxiliar Administrativo</vt:lpstr>
      <vt:lpstr>Equipe tecnica PDSA II_Adm</vt:lpstr>
      <vt:lpstr>Plan3</vt:lpstr>
      <vt:lpstr>Material Limpeza</vt:lpstr>
      <vt:lpstr>Utensílios e Equip. limp</vt:lpstr>
      <vt:lpstr>RESUMO!_Hlk159506321</vt:lpstr>
      <vt:lpstr>RESUMO!_Hlk162258488</vt:lpstr>
      <vt:lpstr>'Aux. de Serviços Diversos'!Area_de_impressao</vt:lpstr>
      <vt:lpstr>'Auxiliar Administrativo'!Area_de_impressao</vt:lpstr>
      <vt:lpstr>'Encarregado Geral '!Area_de_impressao</vt:lpstr>
      <vt:lpstr>Garçom!Area_de_impressao</vt:lpstr>
      <vt:lpstr>Jardineiro!Area_de_impressao</vt:lpstr>
      <vt:lpstr>'Recepcionista Nível I'!Area_de_impressao</vt:lpstr>
      <vt:lpstr>'Servente de Limpeza'!Area_de_impressao</vt:lpstr>
      <vt:lpstr>'Serviço de Copeiragem'!Area_de_impressao</vt:lpstr>
      <vt:lpstr>'Aux. de Serviços Diversos'!Titulos_de_impressao</vt:lpstr>
      <vt:lpstr>'Auxiliar Administrativo'!Titulos_de_impressao</vt:lpstr>
      <vt:lpstr>'Encarregado Geral '!Titulos_de_impressao</vt:lpstr>
      <vt:lpstr>Garçom!Titulos_de_impressao</vt:lpstr>
      <vt:lpstr>Jardineiro!Titulos_de_impressao</vt:lpstr>
      <vt:lpstr>'Recepcionista Nível I'!Titulos_de_impressao</vt:lpstr>
      <vt:lpstr>'Servente de Limpeza'!Titulos_de_impressao</vt:lpstr>
      <vt:lpstr>'Serviço de Copeiragem'!Titulos_de_impressao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Pellicciotti</dc:creator>
  <cp:lastModifiedBy>Roberto Bezerra de Souza</cp:lastModifiedBy>
  <cp:lastPrinted>2024-08-16T15:08:43Z</cp:lastPrinted>
  <dcterms:created xsi:type="dcterms:W3CDTF">2005-07-18T16:12:33Z</dcterms:created>
  <dcterms:modified xsi:type="dcterms:W3CDTF">2024-08-16T15:08:57Z</dcterms:modified>
</cp:coreProperties>
</file>